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3315" activeTab="0"/>
  </bookViews>
  <sheets>
    <sheet name="wpi netto" sheetId="1" r:id="rId1"/>
  </sheets>
  <definedNames>
    <definedName name="_xlnm.Print_Area" localSheetId="0">'wpi netto'!$B$1:$P$348</definedName>
    <definedName name="_xlnm.Print_Titles" localSheetId="0">'wpi netto'!$5:$7</definedName>
  </definedNames>
  <calcPr fullCalcOnLoad="1"/>
</workbook>
</file>

<file path=xl/sharedStrings.xml><?xml version="1.0" encoding="utf-8"?>
<sst xmlns="http://schemas.openxmlformats.org/spreadsheetml/2006/main" count="438" uniqueCount="114">
  <si>
    <t>Termin</t>
  </si>
  <si>
    <t>Rozpocz.</t>
  </si>
  <si>
    <t>Zakończ.</t>
  </si>
  <si>
    <t>Lp.</t>
  </si>
  <si>
    <t>Żródła finansowania</t>
  </si>
  <si>
    <t xml:space="preserve">w tys. zł </t>
  </si>
  <si>
    <t>ogółem 
z tego:</t>
  </si>
  <si>
    <t>w zł</t>
  </si>
  <si>
    <t xml:space="preserve">środki własne </t>
  </si>
  <si>
    <t>RAZEM WYDATKI INWESTYCYJNE,
w tym:</t>
  </si>
  <si>
    <t xml:space="preserve">środki z funduszy UE     </t>
  </si>
  <si>
    <t>Przewidywana całkowita wysokość wydatków na inwestycję</t>
  </si>
  <si>
    <t>NAZWA ZADANIA INWESTYCYJNEGO</t>
  </si>
  <si>
    <t>Budowa sieci kanalizacyjnej we wsi Babice Nowe, ul. Ożarowska i ul. Wieruchowska</t>
  </si>
  <si>
    <t>Budowa kanalizacji sanitarnej we wsi Stare Babice, ul. Izabelińska i Kampinoska</t>
  </si>
  <si>
    <t>Wymiana sieci kanalizacyjnej w Osiedlu Powojskowym we wsi Kwirynów</t>
  </si>
  <si>
    <t>Budowa sieci wodociągowej w Janowie na nowym osiedlu powstałym po odrolnieniu terenów po południowej stronie ul. Andersa</t>
  </si>
  <si>
    <t>Budowa sieci wodociągowej we wsi Koczargi Stare (obszar ograniczony ulicami Akacjową i Górki oraz strugą oddzielającą Koczargi Stare od Lipkowa)</t>
  </si>
  <si>
    <t>Budowa sieci wodociągowej we wsi Blizne Łaszczyńskiego - na południe od ul. Warszawskiej</t>
  </si>
  <si>
    <t>Budowa sieci wodociągowej we wsi Wojcieszyn na obszarze objętym nowym planem zagospodarowania przestrzennego</t>
  </si>
  <si>
    <t>Rozbudowa sieci wodociągowej z udziałem mieszkańców gminy - teren całej gminy</t>
  </si>
  <si>
    <t>Budowa Automatycznej Stacji Uzdatniania Wody w Borzęcinie Małym wraz z ujęciami wody etap II</t>
  </si>
  <si>
    <t>Projekty koncepcyjne budowy sieci wodociągowych na teranach obiętych nowymi planami zagospodarowania przestrzennego</t>
  </si>
  <si>
    <t>Budowa sieci kanalizacji sanitarnej we wsi Wojcieszyn na obszarze objętym nowym planem zagospodarowania przestrzennego</t>
  </si>
  <si>
    <t>Budowa sieci kanalizacji sanitarnej w Janowie na nowym osiedlu powstałym po odrolnieniu terenów po południowej stronie ul. Andersa</t>
  </si>
  <si>
    <t>Budowa sieci kanalizacji sanitarnej we wsi Koczargi Stare (obszar ograniczony ulicami Akacjową i Górki oraz strugą oddzielającą Koczargi Stare od Lipkowa)</t>
  </si>
  <si>
    <t>Budowa sieci kanalizacji sanitarnej we wsi Blizne Łaszczyńskiego - na południe od. ul. Warszawskiej</t>
  </si>
  <si>
    <t>Rozbudowa sieci kanalizacyjnej z udziałem mieszkańców - teren całej gminy</t>
  </si>
  <si>
    <t>Projekty koncepcyjne budowy sieci kanalizacyjnej na teranach obiętych nowymi planami zagospodarowania przestrzennego</t>
  </si>
  <si>
    <t>Projekt rozbudowy Oczyszczalni ścieków Stare Babice etap III</t>
  </si>
  <si>
    <t>Zadania realizowane w ramach Funduszu Spójności</t>
  </si>
  <si>
    <t>Pozostałe zadania</t>
  </si>
  <si>
    <t xml:space="preserve">* środki własne </t>
  </si>
  <si>
    <t xml:space="preserve">* środki z funduszy UE     </t>
  </si>
  <si>
    <t>wodociągi</t>
  </si>
  <si>
    <t>kanalizacja</t>
  </si>
  <si>
    <t>ogółem:</t>
  </si>
  <si>
    <t xml:space="preserve">ogółem: </t>
  </si>
  <si>
    <t>inne (np. kredyty, pożyczki)</t>
  </si>
  <si>
    <t>* inne (np. kredyty, pożyczki)</t>
  </si>
  <si>
    <t>Budowa spinki wodociągowej pomiędzy ulicami Sikorskiego i Hubala Dobrzańskiego</t>
  </si>
  <si>
    <t>Jednostka Realizująca Projekt</t>
  </si>
  <si>
    <t>Projekt kanału tłocznego z oczyszczalni ścieków w Starych Babicach do rowu ożarowskiego</t>
  </si>
  <si>
    <t>Budowa wodociągu łączącego Gminę Stare Babice z wodociągiem m. St. Warszawa ul. Arkuszowa</t>
  </si>
  <si>
    <t xml:space="preserve">Budowa sieci kanalizacji sanitarnej we wsi Klaudyn – etap I i II </t>
  </si>
  <si>
    <t>Budowa kanalizacji sanitarnej wzdłuż ulicy Warszawskiej we wsiach Blizne Jasińskiego i Lubiczów</t>
  </si>
  <si>
    <t>Budowa kanalizacji sanitarnej wzdłuż ulicy Warszawskiej we wsi Latchorzew</t>
  </si>
  <si>
    <t>Budowa kanalizacji sanitarnej wzdłuż ulicy Warszawskiej rejon ul. Gen. Kutrzeby</t>
  </si>
  <si>
    <t>Budowa sieci kanalizacji sanitarnej we wsi Zielonki Parcela, ul. Południowa, Zachodnia i Okrężna</t>
  </si>
  <si>
    <t xml:space="preserve">Opracowanie dokumentacji technicznych dla kontraktów:
1. Sieć wodociągowa Klaudyn ul.Krzyżanowskiego
2. Spinka wodociągowa Ogrodnicza - Szeligowska
3. Spinka wodociągowa Klonowa - Osiedlowa
4. Spinka wodociągowa Zielona - Thomme
5. Magistrala wodociągowa w ul. Trakt Królewski                               </t>
  </si>
  <si>
    <t>Sieć wodociągowa Klaudyn, ul. Krzyżanowskiego</t>
  </si>
  <si>
    <t>Spinka wodociągowa Ogrodnicza - Szeligowska</t>
  </si>
  <si>
    <t>Spinka wodociągowa Klonowa - Osiedlowa</t>
  </si>
  <si>
    <t>Magistrala wodociągowa w ul. Trakt Królewski</t>
  </si>
  <si>
    <t>Spinka wodociągowa Zielona - Thomme</t>
  </si>
  <si>
    <t xml:space="preserve">Budowa kanalizacji sanitarnej we wsi Klaudyn - etap III i IV </t>
  </si>
  <si>
    <t>Pojazd do obsługi kanalizacji</t>
  </si>
  <si>
    <t>Zagospodarowanie osadów – instalacja do wytwarzania nawozu z osadów</t>
  </si>
  <si>
    <t>Pomoc Techniczna dla PIU</t>
  </si>
  <si>
    <t>Promocja projektu</t>
  </si>
  <si>
    <t>Nadzór podczas realizacji budowy</t>
  </si>
  <si>
    <t>Zakup gruntów</t>
  </si>
  <si>
    <t>netto</t>
  </si>
  <si>
    <t>udział własny - 40 % wartości netto pokrywany w formie podniesienia kapitału zakładowego przez Gminę Stare Babice</t>
  </si>
  <si>
    <t>WYSOKOŚĆ WYDATKÓW NA REALIZACJĘ ZADAŃ</t>
  </si>
  <si>
    <t>Opracowanie dokumentacji technicznej dla kontraktu:
"Budowa sieci kanalizacji sanitarnej  Borzęcin Mały - Topolin"  (Zadania Z-9, Z-13 oraz Z-11, Z-12 wg koncepcji kanalizacji)</t>
  </si>
  <si>
    <t>Opracowanie dokumentacji technicznej dla kontraktu: "Budowa sieci kanalizacji sanitarnej  Borzęcin Duży - Mariew" (Zadania Z-10, Z-15 oraz Z-16 wg koncepcji kanalizacji)</t>
  </si>
  <si>
    <t>Opracowanie dokumentacji technicznej dla kontraktu:
"Budowa sieci kanalizacji sanitarnej Wierzbin - Wojcieszyn"  (Zadania Z-5, Z-7 oraz Z-4, Z-6 i Z-8 wg koncepcji kanalizacji)</t>
  </si>
  <si>
    <t>Opracowanie dokumentacji technicznej dla kontraktu: "Budowa sieci kanalizacji sanitarnej Koczargi Nowe - Zielonki Wieś" (Zadania Z-1, Z-2 oraz Z-3 wg koncepcji kanalizacji)</t>
  </si>
  <si>
    <t>Opracowanie dokumentacji technicznej dla kontraktu: "Budowa pompowni ścieków "Borzęcin" i "Koczargi" wraz z rurociągami tłocznymi do oczyszczalni  Stare Babice"</t>
  </si>
  <si>
    <t>Opracowanie dokumentacji technicznej dla kontraktu:  "Wymiana sieci kanalizacyjnej w Osiedlu Powojskowym we wsi Kwirynów"</t>
  </si>
  <si>
    <t>Opracowanie dokumantacji technicznej dla kontraktu: "Zagospodarowanie osadów - instalacja do wytwarzania nawozu z osadu"</t>
  </si>
  <si>
    <t>Budowa kanału sanitarnego w ul. Koczarskiej wi Starych Babicach</t>
  </si>
  <si>
    <t>Budowa sieci wodociągowej i kanalizacji sanitarnej dla wsi Kwirynów między ul. Agawy, Kalinową, Pohulanka, Sikorskiego, gm. Stare Babice</t>
  </si>
  <si>
    <t>Budowa sieci kanalizacji sanitarnej Wierzbin - Wojcieszyn etap I (Wierzbin Wojcieszyn) (Zadania Z-5, Z-7 wg koncepcji kanalizacji)</t>
  </si>
  <si>
    <t>Budowa sieci kanalizacji sanitarnej Wierzbin - Wojcieszyn etap II (Górki, Zalesie, Wojcieszyn) (Zadania Z-4, Z-6 i Z-8 wg koncepcji kanalizacji)</t>
  </si>
  <si>
    <t>Budowa sieci kanalizacji sanitarnej Borzęcin Mały - Topolin - etap I (Borzęcin Duży, Borzęcin Mały) (Zadania Z-9, Z-13 wg koncepcji kanalizacji)</t>
  </si>
  <si>
    <t>Budowa sieci kanalizacji sanitarnej Borzęcin Mały - Topolin - etap II (Topolin) (Zadania Z-11, Z-12 wg koncepcji kanalizacji)</t>
  </si>
  <si>
    <t>Budowa sieci kanalizacji sanitarnej Borzęcin Duży - Mariew - etap I (Borzęcin Duży, Stanisławów) (Zadania Z-10, Z-15 wg koncepcji kanalizacji)</t>
  </si>
  <si>
    <t>Budowa sieci kanalizacji sanitarnej Borzęcin Duży - Mariew - etap II (Mariew) (Zadanie Z-16 wg koncepcji kanalizacji)</t>
  </si>
  <si>
    <t>Budowa kanału tłocznego z oczyszczalni ścieków w Starych Babicach do rowu ożarowskiego</t>
  </si>
  <si>
    <t>Budowa sieci kanalizacji sanitarnej Koczargi Nowe - Zielonki Wieś - etap I (Zielonki Wieś, Koczargi Nowe) (Zadania Z-1, Z-2 wg koncepcji kanalizacji)</t>
  </si>
  <si>
    <t>Budowa sieci kanalizacji sanitarnej Koczargi Nowe - Zielonki Wieś - etap II (Bugaj, Aleksandrów) (Zadanie Z-3 wg koncepcji kanalizacji)</t>
  </si>
  <si>
    <t>Budowa spinki wodociągowej ul. Maczka Janów - Kwirynów</t>
  </si>
  <si>
    <t>Budowa spinki wodociągowej ul. Królowej Marysieńki do ul Warszawskiej w Wierzbinie</t>
  </si>
  <si>
    <t>Budowa przewodu tłocznego ścieków sanitarnych z pompowni "Lutosłaskiego 1" w Klaudynie do kanalizacji w Janowie, Stare Babice</t>
  </si>
  <si>
    <t>Budowa Automatycznej Stacji Uzdatniania Wody w Borzęcinie Małym wraz z ujęciami wody i zapleczem dla Pogotowia Wodno - Kanalizacyjnego</t>
  </si>
  <si>
    <t xml:space="preserve">Budowa sieci kanalizacyjnej z przepompownią ścieków dla wsi  Blizne Jasińskiego (między ul. Prusa, Reja, Mickiewicza, Hubala Dobrzańskiego) </t>
  </si>
  <si>
    <t>Przedłużenie kanału sanitarnego w ul. Grupy Kampinos w Latchorzewie, gmina Stare Babice</t>
  </si>
  <si>
    <t>Kompleksowa modernizacja Automatycznej Stacji Uzdatniania Wody „Warszawska” w Starych Babicach</t>
  </si>
  <si>
    <t>Budowa przewodów wody surowej oraz kabli eneretycznych i sterowniczych z ujęć wody do ASUW w Starych Babicach</t>
  </si>
  <si>
    <t>Budowa spinki wodociągiowej ul. Różana w Koczargach Nowych</t>
  </si>
  <si>
    <t xml:space="preserve">Budowa sieci wodociągowej
w miejscowości Zielonki ul. Sportowa i osiedle Białej Góry </t>
  </si>
  <si>
    <t>Zakup agregaru prądotwórczego dla oczyszczalni ścieków</t>
  </si>
  <si>
    <t>Budowa przewodu tłocznego ścieków wzdłuż ul. Kościuszki w Bliznem - etap II</t>
  </si>
  <si>
    <t>Budowa przewodu tłocznego ścieków wzdłuż ul. Kościuszki w Bliznem - etap I</t>
  </si>
  <si>
    <t>Budowa spinki wodociągowej pomiędzy ulicami Izabelińską a Zieloną</t>
  </si>
  <si>
    <t>Budowa sieci wodociągowej w ul. Grupy Kampinos w Latchorzewie</t>
  </si>
  <si>
    <t>Inne</t>
  </si>
  <si>
    <t>Modernizacja sieci kanalizacyjnej i przykanalików, ul.: Kręta, Piaskowa - Zielonki Parcela wraz z budową przepompowni ścieków</t>
  </si>
  <si>
    <t xml:space="preserve">Budowa sieci kanalizacyjnej
w miejscowości Zielonki ul. Sportowa i osiedle Białej Góry </t>
  </si>
  <si>
    <t>Modernizacja przepompowni w ul. Kutrzeby w Starych Babicach</t>
  </si>
  <si>
    <t>Rozbudowa biura dla potrzeb Jednostki Realizującej Projekt</t>
  </si>
  <si>
    <t>Przewidywane wykonanie do 31.12.2008 r.</t>
  </si>
  <si>
    <t>Łącznie wydatki w latach
2009-2013</t>
  </si>
  <si>
    <t>Wydatki poniesione do 31.12.2007r.</t>
  </si>
  <si>
    <t xml:space="preserve">Przełączenie ścieków sanitarnych z terenu Blizne Łaszczyńskiego do kanalizacji gminnej poprzez przepompownie: "Hubala" i "Zagłoby" </t>
  </si>
  <si>
    <t>Zaangażowanie wydatków (wydatki do poniesienia po 2013r.)</t>
  </si>
  <si>
    <t>Pompownia "Borzęcin", kanał  tłoczny do pompowni "Koczargi"</t>
  </si>
  <si>
    <t xml:space="preserve">Pompownia  "Koczargi", kanał  tłoczny do oczyszczalni ścieków </t>
  </si>
  <si>
    <r>
      <t xml:space="preserve">ogółem 
</t>
    </r>
    <r>
      <rPr>
        <sz val="6"/>
        <color indexed="9"/>
        <rFont val="Arial CE"/>
        <family val="0"/>
      </rPr>
      <t>z tego:</t>
    </r>
  </si>
  <si>
    <r>
      <t xml:space="preserve">ogółem 
</t>
    </r>
    <r>
      <rPr>
        <sz val="6"/>
        <rFont val="Arial CE"/>
        <family val="0"/>
      </rPr>
      <t>z tego:</t>
    </r>
  </si>
  <si>
    <r>
      <t xml:space="preserve">*ogółem 
</t>
    </r>
    <r>
      <rPr>
        <sz val="6"/>
        <color indexed="9"/>
        <rFont val="Arial CE"/>
        <family val="0"/>
      </rPr>
      <t>z tego:</t>
    </r>
  </si>
  <si>
    <t>Tabela nr 4. Zamierzenia inwestycyjne Spółki Eko-Babice na lata 2009-2013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</si>
</sst>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_ ;\-#,##0\ 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i/>
      <sz val="10"/>
      <color indexed="12"/>
      <name val="Arial CE"/>
      <family val="2"/>
    </font>
    <font>
      <i/>
      <sz val="14"/>
      <name val="Arial CE"/>
      <family val="2"/>
    </font>
    <font>
      <b/>
      <i/>
      <sz val="8"/>
      <name val="Arial CE"/>
      <family val="2"/>
    </font>
    <font>
      <sz val="9"/>
      <name val="Arial CE"/>
      <family val="2"/>
    </font>
    <font>
      <sz val="6"/>
      <color indexed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>
      <alignment vertical="center" wrapText="1"/>
    </xf>
    <xf numFmtId="0" fontId="2" fillId="24" borderId="1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vertical="top"/>
      <protection hidden="1"/>
    </xf>
    <xf numFmtId="0" fontId="0" fillId="20" borderId="0" xfId="0" applyFont="1" applyFill="1" applyAlignment="1">
      <alignment/>
    </xf>
    <xf numFmtId="0" fontId="2" fillId="24" borderId="11" xfId="0" applyFont="1" applyFill="1" applyBorder="1" applyAlignment="1" applyProtection="1">
      <alignment horizontal="center" vertical="center" wrapText="1"/>
      <protection hidden="1"/>
    </xf>
    <xf numFmtId="4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165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41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41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1" fontId="7" fillId="0" borderId="10" xfId="0" applyNumberFormat="1" applyFont="1" applyFill="1" applyBorder="1" applyAlignment="1" applyProtection="1">
      <alignment horizontal="right" vertical="center" wrapText="1"/>
      <protection hidden="1"/>
    </xf>
    <xf numFmtId="164" fontId="5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top"/>
      <protection hidden="1"/>
    </xf>
    <xf numFmtId="41" fontId="3" fillId="0" borderId="10" xfId="0" applyNumberFormat="1" applyFont="1" applyBorder="1" applyAlignment="1" applyProtection="1">
      <alignment horizontal="right" vertical="center" wrapText="1"/>
      <protection hidden="1"/>
    </xf>
    <xf numFmtId="41" fontId="7" fillId="0" borderId="10" xfId="0" applyNumberFormat="1" applyFont="1" applyBorder="1" applyAlignment="1" applyProtection="1">
      <alignment horizontal="righ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indent="1"/>
      <protection hidden="1"/>
    </xf>
    <xf numFmtId="0" fontId="0" fillId="20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>
      <alignment horizontal="left" vertical="center" wrapText="1" indent="1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vertical="center" wrapText="1"/>
    </xf>
    <xf numFmtId="41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1" fontId="7" fillId="24" borderId="10" xfId="0" applyNumberFormat="1" applyFont="1" applyFill="1" applyBorder="1" applyAlignment="1" applyProtection="1">
      <alignment horizontal="right" vertical="center" wrapText="1"/>
      <protection locked="0"/>
    </xf>
    <xf numFmtId="41" fontId="3" fillId="24" borderId="10" xfId="0" applyNumberFormat="1" applyFont="1" applyFill="1" applyBorder="1" applyAlignment="1" applyProtection="1">
      <alignment horizontal="right" vertical="center" wrapText="1"/>
      <protection locked="0"/>
    </xf>
    <xf numFmtId="41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0" fillId="20" borderId="13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left" vertical="center" wrapText="1"/>
      <protection hidden="1"/>
    </xf>
    <xf numFmtId="165" fontId="3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4" borderId="10" xfId="0" applyFont="1" applyFill="1" applyBorder="1" applyAlignment="1">
      <alignment vertical="center" wrapText="1"/>
    </xf>
    <xf numFmtId="0" fontId="0" fillId="20" borderId="14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1" fontId="3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0" fillId="8" borderId="15" xfId="0" applyFont="1" applyFill="1" applyBorder="1" applyAlignment="1">
      <alignment/>
    </xf>
    <xf numFmtId="41" fontId="3" fillId="8" borderId="10" xfId="0" applyNumberFormat="1" applyFont="1" applyFill="1" applyBorder="1" applyAlignment="1" applyProtection="1">
      <alignment horizontal="right" vertical="center" wrapText="1"/>
      <protection hidden="1"/>
    </xf>
    <xf numFmtId="0" fontId="3" fillId="8" borderId="16" xfId="0" applyFont="1" applyFill="1" applyBorder="1" applyAlignment="1">
      <alignment wrapText="1"/>
    </xf>
    <xf numFmtId="0" fontId="3" fillId="7" borderId="10" xfId="0" applyFont="1" applyFill="1" applyBorder="1" applyAlignment="1">
      <alignment vertical="center" wrapText="1"/>
    </xf>
    <xf numFmtId="41" fontId="3" fillId="7" borderId="10" xfId="0" applyNumberFormat="1" applyFont="1" applyFill="1" applyBorder="1" applyAlignment="1" applyProtection="1">
      <alignment horizontal="right" vertical="center" wrapText="1"/>
      <protection locked="0"/>
    </xf>
    <xf numFmtId="41" fontId="3" fillId="7" borderId="10" xfId="0" applyNumberFormat="1" applyFont="1" applyFill="1" applyBorder="1" applyAlignment="1" applyProtection="1">
      <alignment horizontal="right" vertical="center" wrapText="1"/>
      <protection hidden="1"/>
    </xf>
    <xf numFmtId="0" fontId="3" fillId="8" borderId="15" xfId="0" applyFont="1" applyFill="1" applyBorder="1" applyAlignment="1">
      <alignment/>
    </xf>
    <xf numFmtId="3" fontId="3" fillId="8" borderId="15" xfId="0" applyNumberFormat="1" applyFont="1" applyFill="1" applyBorder="1" applyAlignment="1">
      <alignment/>
    </xf>
    <xf numFmtId="0" fontId="4" fillId="7" borderId="10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0" fillId="20" borderId="17" xfId="0" applyFont="1" applyFill="1" applyBorder="1" applyAlignment="1">
      <alignment vertical="center"/>
    </xf>
    <xf numFmtId="0" fontId="0" fillId="20" borderId="18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4" fillId="4" borderId="19" xfId="0" applyFont="1" applyFill="1" applyBorder="1" applyAlignment="1" applyProtection="1">
      <alignment horizontal="left" vertical="center" wrapText="1"/>
      <protection hidden="1"/>
    </xf>
    <xf numFmtId="0" fontId="4" fillId="4" borderId="11" xfId="0" applyFont="1" applyFill="1" applyBorder="1" applyAlignment="1" applyProtection="1">
      <alignment horizontal="left" vertical="center" wrapText="1"/>
      <protection hidden="1"/>
    </xf>
    <xf numFmtId="0" fontId="0" fillId="0" borderId="17" xfId="0" applyFont="1" applyFill="1" applyBorder="1" applyAlignment="1">
      <alignment/>
    </xf>
    <xf numFmtId="165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41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7" xfId="0" applyFont="1" applyBorder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2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>
      <alignment horizontal="left" vertical="center" wrapText="1" indent="1"/>
    </xf>
    <xf numFmtId="3" fontId="2" fillId="0" borderId="11" xfId="0" applyNumberFormat="1" applyFont="1" applyBorder="1" applyAlignment="1">
      <alignment horizontal="left" vertical="center" wrapText="1" indent="1"/>
    </xf>
    <xf numFmtId="3" fontId="2" fillId="0" borderId="12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11" xfId="0" applyNumberFormat="1" applyFont="1" applyFill="1" applyBorder="1" applyAlignment="1" applyProtection="1">
      <alignment vertical="center" wrapText="1"/>
      <protection locked="0"/>
    </xf>
    <xf numFmtId="0" fontId="7" fillId="0" borderId="12" xfId="0" applyNumberFormat="1" applyFont="1" applyFill="1" applyBorder="1" applyAlignment="1" applyProtection="1">
      <alignment vertical="top" wrapText="1"/>
      <protection locked="0"/>
    </xf>
    <xf numFmtId="0" fontId="7" fillId="0" borderId="11" xfId="0" applyNumberFormat="1" applyFont="1" applyFill="1" applyBorder="1" applyAlignment="1" applyProtection="1">
      <alignment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>
      <alignment horizontal="left" vertical="center" wrapText="1" indent="1"/>
    </xf>
    <xf numFmtId="0" fontId="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left" vertical="center" wrapText="1" indent="1"/>
    </xf>
    <xf numFmtId="0" fontId="3" fillId="4" borderId="17" xfId="0" applyNumberFormat="1" applyFont="1" applyFill="1" applyBorder="1" applyAlignment="1" applyProtection="1">
      <alignment vertical="center" wrapText="1"/>
      <protection locked="0"/>
    </xf>
    <xf numFmtId="0" fontId="3" fillId="4" borderId="0" xfId="0" applyNumberFormat="1" applyFont="1" applyFill="1" applyBorder="1" applyAlignment="1" applyProtection="1">
      <alignment vertical="center" wrapText="1"/>
      <protection locked="0"/>
    </xf>
    <xf numFmtId="0" fontId="3" fillId="4" borderId="18" xfId="0" applyNumberFormat="1" applyFont="1" applyFill="1" applyBorder="1" applyAlignment="1" applyProtection="1">
      <alignment vertical="center" wrapText="1"/>
      <protection locked="0"/>
    </xf>
    <xf numFmtId="0" fontId="3" fillId="4" borderId="20" xfId="0" applyNumberFormat="1" applyFont="1" applyFill="1" applyBorder="1" applyAlignment="1" applyProtection="1">
      <alignment vertical="center" wrapText="1"/>
      <protection locked="0"/>
    </xf>
    <xf numFmtId="0" fontId="3" fillId="4" borderId="21" xfId="0" applyNumberFormat="1" applyFont="1" applyFill="1" applyBorder="1" applyAlignment="1" applyProtection="1">
      <alignment vertical="center" wrapText="1"/>
      <protection locked="0"/>
    </xf>
    <xf numFmtId="0" fontId="3" fillId="4" borderId="19" xfId="0" applyNumberFormat="1" applyFont="1" applyFill="1" applyBorder="1" applyAlignment="1" applyProtection="1">
      <alignment vertical="center" wrapText="1"/>
      <protection locked="0"/>
    </xf>
    <xf numFmtId="0" fontId="6" fillId="24" borderId="0" xfId="0" applyFont="1" applyFill="1" applyBorder="1" applyAlignment="1" applyProtection="1">
      <alignment horizontal="center" wrapText="1"/>
      <protection hidden="1"/>
    </xf>
    <xf numFmtId="0" fontId="6" fillId="24" borderId="0" xfId="0" applyFont="1" applyFill="1" applyBorder="1" applyAlignment="1" applyProtection="1">
      <alignment horizontal="center"/>
      <protection hidden="1"/>
    </xf>
    <xf numFmtId="0" fontId="2" fillId="24" borderId="20" xfId="0" applyFont="1" applyFill="1" applyBorder="1" applyAlignment="1" applyProtection="1">
      <alignment horizontal="right"/>
      <protection hidden="1"/>
    </xf>
    <xf numFmtId="0" fontId="2" fillId="24" borderId="22" xfId="0" applyFont="1" applyFill="1" applyBorder="1" applyAlignment="1" applyProtection="1">
      <alignment horizontal="center" vertical="center" wrapText="1"/>
      <protection hidden="1"/>
    </xf>
    <xf numFmtId="0" fontId="2" fillId="24" borderId="11" xfId="0" applyFont="1" applyFill="1" applyBorder="1" applyAlignment="1" applyProtection="1">
      <alignment horizontal="center" vertical="center" wrapText="1"/>
      <protection hidden="1"/>
    </xf>
    <xf numFmtId="0" fontId="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7" fillId="0" borderId="12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Border="1" applyAlignment="1">
      <alignment horizontal="left" vertical="center" wrapText="1" indent="1"/>
    </xf>
    <xf numFmtId="3" fontId="2" fillId="0" borderId="12" xfId="0" applyNumberFormat="1" applyFont="1" applyBorder="1" applyAlignment="1">
      <alignment horizontal="left" vertical="center" wrapText="1" indent="1"/>
    </xf>
    <xf numFmtId="3" fontId="2" fillId="0" borderId="11" xfId="0" applyNumberFormat="1" applyFont="1" applyBorder="1" applyAlignment="1">
      <alignment horizontal="left" vertical="center" wrapText="1" indent="1"/>
    </xf>
    <xf numFmtId="3" fontId="2" fillId="0" borderId="22" xfId="0" applyNumberFormat="1" applyFont="1" applyFill="1" applyBorder="1" applyAlignment="1">
      <alignment horizontal="left" vertical="center" wrapText="1" indent="1"/>
    </xf>
    <xf numFmtId="3" fontId="2" fillId="0" borderId="12" xfId="0" applyNumberFormat="1" applyFont="1" applyFill="1" applyBorder="1" applyAlignment="1">
      <alignment horizontal="left" vertical="center" wrapText="1" indent="1"/>
    </xf>
    <xf numFmtId="3" fontId="2" fillId="0" borderId="11" xfId="0" applyNumberFormat="1" applyFont="1" applyFill="1" applyBorder="1" applyAlignment="1">
      <alignment horizontal="left" vertical="center" wrapText="1" indent="1"/>
    </xf>
    <xf numFmtId="0" fontId="3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1" xfId="0" applyFont="1" applyFill="1" applyBorder="1" applyAlignment="1" applyProtection="1">
      <alignment horizontal="right"/>
      <protection hidden="1"/>
    </xf>
    <xf numFmtId="0" fontId="2" fillId="24" borderId="19" xfId="0" applyFont="1" applyFill="1" applyBorder="1" applyAlignment="1" applyProtection="1">
      <alignment horizontal="right"/>
      <protection hidden="1"/>
    </xf>
    <xf numFmtId="0" fontId="2" fillId="24" borderId="23" xfId="0" applyFont="1" applyFill="1" applyBorder="1" applyAlignment="1" applyProtection="1">
      <alignment horizontal="center" vertical="center" wrapText="1"/>
      <protection hidden="1"/>
    </xf>
    <xf numFmtId="0" fontId="2" fillId="24" borderId="15" xfId="0" applyFont="1" applyFill="1" applyBorder="1" applyAlignment="1" applyProtection="1">
      <alignment horizontal="center" vertical="center" wrapText="1"/>
      <protection hidden="1"/>
    </xf>
    <xf numFmtId="0" fontId="2" fillId="24" borderId="12" xfId="0" applyFont="1" applyFill="1" applyBorder="1" applyAlignment="1" applyProtection="1">
      <alignment horizontal="center" vertical="center" wrapText="1"/>
      <protection hidden="1"/>
    </xf>
    <xf numFmtId="0" fontId="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NumberFormat="1" applyFont="1" applyBorder="1" applyAlignment="1" applyProtection="1">
      <alignment horizontal="center" vertical="center" wrapText="1"/>
      <protection locked="0"/>
    </xf>
    <xf numFmtId="0" fontId="3" fillId="8" borderId="23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23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1"/>
  <sheetViews>
    <sheetView tabSelected="1" view="pageBreakPreview" zoomScaleSheetLayoutView="100" zoomScalePageLayoutView="0" workbookViewId="0" topLeftCell="B1">
      <pane ySplit="12" topLeftCell="BM273" activePane="bottomLeft" state="frozen"/>
      <selection pane="topLeft" activeCell="B1" sqref="B1"/>
      <selection pane="bottomLeft" activeCell="I5" sqref="I5:N5"/>
    </sheetView>
  </sheetViews>
  <sheetFormatPr defaultColWidth="9.00390625" defaultRowHeight="12.75"/>
  <cols>
    <col min="1" max="1" width="4.375" style="22" hidden="1" customWidth="1"/>
    <col min="2" max="2" width="4.375" style="22" customWidth="1"/>
    <col min="3" max="3" width="30.375" style="21" customWidth="1"/>
    <col min="4" max="4" width="6.00390625" style="0" customWidth="1"/>
    <col min="5" max="5" width="5.625" style="0" customWidth="1"/>
    <col min="6" max="6" width="13.625" style="0" customWidth="1"/>
    <col min="7" max="7" width="11.875" style="0" customWidth="1"/>
    <col min="8" max="8" width="10.75390625" style="0" customWidth="1"/>
    <col min="9" max="9" width="11.375" style="57" customWidth="1"/>
    <col min="10" max="14" width="11.375" style="0" customWidth="1"/>
    <col min="15" max="15" width="12.125" style="0" customWidth="1"/>
    <col min="16" max="16" width="14.875" style="0" customWidth="1"/>
    <col min="17" max="17" width="14.75390625" style="0" bestFit="1" customWidth="1"/>
    <col min="19" max="19" width="14.375" style="0" bestFit="1" customWidth="1"/>
  </cols>
  <sheetData>
    <row r="2" spans="1:16" ht="35.25" customHeight="1">
      <c r="A2"/>
      <c r="B2" s="89" t="s">
        <v>113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5.75" customHeight="1">
      <c r="A3" s="15"/>
      <c r="B3" s="15"/>
      <c r="C3" s="19"/>
      <c r="D3" s="6"/>
      <c r="E3" s="6"/>
      <c r="F3" s="6"/>
      <c r="G3" s="6"/>
      <c r="H3" s="6"/>
      <c r="I3" s="55"/>
      <c r="J3" s="6"/>
      <c r="K3" s="6"/>
      <c r="L3" s="6"/>
      <c r="M3" s="6"/>
      <c r="N3" s="6"/>
      <c r="O3" s="6"/>
      <c r="P3" s="16" t="s">
        <v>7</v>
      </c>
    </row>
    <row r="4" spans="1:16" ht="24" customHeight="1" hidden="1">
      <c r="A4"/>
      <c r="B4" s="91" t="s">
        <v>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</row>
    <row r="5" spans="1:16" ht="20.25" customHeight="1">
      <c r="A5" s="92" t="s">
        <v>3</v>
      </c>
      <c r="B5" s="92" t="s">
        <v>3</v>
      </c>
      <c r="C5" s="92" t="s">
        <v>12</v>
      </c>
      <c r="D5" s="111" t="s">
        <v>0</v>
      </c>
      <c r="E5" s="112"/>
      <c r="F5" s="92" t="s">
        <v>4</v>
      </c>
      <c r="G5" s="92" t="s">
        <v>11</v>
      </c>
      <c r="H5" s="92" t="s">
        <v>105</v>
      </c>
      <c r="I5" s="117" t="s">
        <v>64</v>
      </c>
      <c r="J5" s="118"/>
      <c r="K5" s="118"/>
      <c r="L5" s="118"/>
      <c r="M5" s="118"/>
      <c r="N5" s="119"/>
      <c r="O5" s="92" t="s">
        <v>104</v>
      </c>
      <c r="P5" s="92" t="s">
        <v>107</v>
      </c>
    </row>
    <row r="6" spans="1:16" ht="70.5" customHeight="1">
      <c r="A6" s="93"/>
      <c r="B6" s="93"/>
      <c r="C6" s="93"/>
      <c r="D6" s="4" t="s">
        <v>1</v>
      </c>
      <c r="E6" s="4" t="s">
        <v>2</v>
      </c>
      <c r="F6" s="113"/>
      <c r="G6" s="93"/>
      <c r="H6" s="93"/>
      <c r="I6" s="64" t="s">
        <v>103</v>
      </c>
      <c r="J6" s="8">
        <v>2009</v>
      </c>
      <c r="K6" s="8">
        <v>2010</v>
      </c>
      <c r="L6" s="8">
        <v>2011</v>
      </c>
      <c r="M6" s="8">
        <v>2012</v>
      </c>
      <c r="N6" s="8">
        <v>2013</v>
      </c>
      <c r="O6" s="93"/>
      <c r="P6" s="93"/>
    </row>
    <row r="7" spans="1:16" ht="12.75">
      <c r="A7" s="1">
        <v>1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56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</row>
    <row r="8" spans="2:19" s="5" customFormat="1" ht="15.75" customHeight="1">
      <c r="B8" s="120" t="s">
        <v>9</v>
      </c>
      <c r="C8" s="121"/>
      <c r="D8" s="121"/>
      <c r="E8" s="122"/>
      <c r="F8" s="2" t="s">
        <v>6</v>
      </c>
      <c r="G8" s="17">
        <f aca="true" t="shared" si="0" ref="G8:P8">SUM(G9:G11)</f>
        <v>193151741.47</v>
      </c>
      <c r="H8" s="17">
        <f t="shared" si="0"/>
        <v>2779834.15</v>
      </c>
      <c r="I8" s="12">
        <f t="shared" si="0"/>
        <v>20410667.7</v>
      </c>
      <c r="J8" s="17">
        <f t="shared" si="0"/>
        <v>54048614.129999995</v>
      </c>
      <c r="K8" s="17">
        <f t="shared" si="0"/>
        <v>75043825.78</v>
      </c>
      <c r="L8" s="17">
        <f t="shared" si="0"/>
        <v>30968799.02</v>
      </c>
      <c r="M8" s="17">
        <f t="shared" si="0"/>
        <v>6200000</v>
      </c>
      <c r="N8" s="17">
        <f t="shared" si="0"/>
        <v>3700000</v>
      </c>
      <c r="O8" s="17">
        <f t="shared" si="0"/>
        <v>169961238.92999998</v>
      </c>
      <c r="P8" s="11">
        <f t="shared" si="0"/>
        <v>0</v>
      </c>
      <c r="Q8" s="32"/>
      <c r="S8" s="33"/>
    </row>
    <row r="9" spans="2:17" s="5" customFormat="1" ht="15.75" customHeight="1">
      <c r="B9" s="123"/>
      <c r="C9" s="124"/>
      <c r="D9" s="124"/>
      <c r="E9" s="125"/>
      <c r="F9" s="2" t="s">
        <v>8</v>
      </c>
      <c r="G9" s="17">
        <v>85183748</v>
      </c>
      <c r="H9" s="17">
        <f aca="true" t="shared" si="1" ref="H9:P9">SUMIF($F$21:$F$9674,$F$9,H21:H9674)</f>
        <v>2604198.4</v>
      </c>
      <c r="I9" s="12">
        <f t="shared" si="1"/>
        <v>8332352.2</v>
      </c>
      <c r="J9" s="17">
        <f t="shared" si="1"/>
        <v>19422303.4</v>
      </c>
      <c r="K9" s="17">
        <f t="shared" si="1"/>
        <v>31914632.8</v>
      </c>
      <c r="L9" s="17">
        <f t="shared" si="1"/>
        <v>13010262</v>
      </c>
      <c r="M9" s="17">
        <f t="shared" si="1"/>
        <v>6200000</v>
      </c>
      <c r="N9" s="17">
        <f t="shared" si="1"/>
        <v>3700000</v>
      </c>
      <c r="O9" s="17">
        <f t="shared" si="1"/>
        <v>74247198.19999999</v>
      </c>
      <c r="P9" s="11">
        <f t="shared" si="1"/>
        <v>0</v>
      </c>
      <c r="Q9" s="33"/>
    </row>
    <row r="10" spans="2:16" s="5" customFormat="1" ht="12.75">
      <c r="B10" s="123"/>
      <c r="C10" s="124"/>
      <c r="D10" s="124"/>
      <c r="E10" s="125"/>
      <c r="F10" s="3" t="s">
        <v>10</v>
      </c>
      <c r="G10" s="18">
        <v>79011499</v>
      </c>
      <c r="H10" s="18">
        <f aca="true" t="shared" si="2" ref="H10:P10">SUMIF($F$21:$F$9674,$F$10,H21:H9674)</f>
        <v>0</v>
      </c>
      <c r="I10" s="13">
        <f t="shared" si="2"/>
        <v>8889203.5</v>
      </c>
      <c r="J10" s="18">
        <f t="shared" si="2"/>
        <v>25423955.5</v>
      </c>
      <c r="K10" s="18">
        <f t="shared" si="2"/>
        <v>31557946.2</v>
      </c>
      <c r="L10" s="18">
        <f t="shared" si="2"/>
        <v>13140393</v>
      </c>
      <c r="M10" s="18">
        <f t="shared" si="2"/>
        <v>0</v>
      </c>
      <c r="N10" s="18">
        <f t="shared" si="2"/>
        <v>0</v>
      </c>
      <c r="O10" s="18">
        <f t="shared" si="2"/>
        <v>70122294.69999999</v>
      </c>
      <c r="P10" s="11">
        <f t="shared" si="2"/>
        <v>0</v>
      </c>
    </row>
    <row r="11" spans="2:16" s="5" customFormat="1" ht="12.75">
      <c r="B11" s="126"/>
      <c r="C11" s="127"/>
      <c r="D11" s="127"/>
      <c r="E11" s="128"/>
      <c r="F11" s="3" t="s">
        <v>38</v>
      </c>
      <c r="G11" s="18">
        <f aca="true" t="shared" si="3" ref="G11:P11">SUMIF($F$21:$F$9674,$F$11,G21:G9674)</f>
        <v>28956494.470000003</v>
      </c>
      <c r="H11" s="18">
        <f t="shared" si="3"/>
        <v>175635.75</v>
      </c>
      <c r="I11" s="13">
        <v>3189112</v>
      </c>
      <c r="J11" s="18">
        <f t="shared" si="3"/>
        <v>9202355.23</v>
      </c>
      <c r="K11" s="18">
        <f t="shared" si="3"/>
        <v>11571246.78</v>
      </c>
      <c r="L11" s="18">
        <f t="shared" si="3"/>
        <v>4818144.02</v>
      </c>
      <c r="M11" s="18">
        <f t="shared" si="3"/>
        <v>0</v>
      </c>
      <c r="N11" s="18">
        <f t="shared" si="3"/>
        <v>0</v>
      </c>
      <c r="O11" s="18">
        <f t="shared" si="3"/>
        <v>25591746.03</v>
      </c>
      <c r="P11" s="11">
        <f t="shared" si="3"/>
        <v>0</v>
      </c>
    </row>
    <row r="12" spans="1:16" s="5" customFormat="1" ht="12.75" customHeight="1">
      <c r="A12" s="36"/>
      <c r="B12" s="36"/>
      <c r="C12" s="2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40"/>
    </row>
    <row r="13" spans="2:17" s="10" customFormat="1" ht="30" customHeight="1">
      <c r="B13" s="141" t="s">
        <v>30</v>
      </c>
      <c r="C13" s="142"/>
      <c r="D13" s="142"/>
      <c r="E13" s="143"/>
      <c r="F13" s="37" t="s">
        <v>111</v>
      </c>
      <c r="G13" s="38">
        <f>SUM(G16:G18)</f>
        <v>162769138.47</v>
      </c>
      <c r="H13" s="38">
        <f aca="true" t="shared" si="4" ref="H13:N13">SUM(H16:H18)</f>
        <v>2302448.15</v>
      </c>
      <c r="I13" s="38">
        <f t="shared" si="4"/>
        <v>18004451.39</v>
      </c>
      <c r="J13" s="38">
        <f t="shared" si="4"/>
        <v>51575614.129999995</v>
      </c>
      <c r="K13" s="38">
        <f t="shared" si="4"/>
        <v>64167825.78</v>
      </c>
      <c r="L13" s="38">
        <f t="shared" si="4"/>
        <v>26718799.02</v>
      </c>
      <c r="M13" s="38">
        <f t="shared" si="4"/>
        <v>0</v>
      </c>
      <c r="N13" s="38">
        <f t="shared" si="4"/>
        <v>0</v>
      </c>
      <c r="O13" s="38">
        <f>SUM(O16:O18)</f>
        <v>142462238.93</v>
      </c>
      <c r="P13" s="38">
        <f aca="true" t="shared" si="5" ref="P13:P18">G13-H13-I13-O13</f>
        <v>0</v>
      </c>
      <c r="Q13" s="41"/>
    </row>
    <row r="14" spans="2:17" s="10" customFormat="1" ht="12.75" customHeight="1">
      <c r="B14" s="144"/>
      <c r="C14" s="145"/>
      <c r="D14" s="145"/>
      <c r="E14" s="146"/>
      <c r="F14" s="58" t="s">
        <v>62</v>
      </c>
      <c r="G14" s="38">
        <f>SUM(H14:L14)</f>
        <v>133812644</v>
      </c>
      <c r="H14" s="38">
        <f>SUM(H16:H17)</f>
        <v>2126812.4</v>
      </c>
      <c r="I14" s="38">
        <f>SUM(I16:I17)</f>
        <v>14815338.7</v>
      </c>
      <c r="J14" s="38">
        <f>SUM(J16:J17)</f>
        <v>42373258.9</v>
      </c>
      <c r="K14" s="38">
        <f>SUM(K16:K17)</f>
        <v>52596579</v>
      </c>
      <c r="L14" s="38">
        <f>SUM(L16:L17)</f>
        <v>21900655</v>
      </c>
      <c r="M14" s="38"/>
      <c r="N14" s="38"/>
      <c r="O14" s="38">
        <f>SUM(J14:L14)</f>
        <v>116870492.9</v>
      </c>
      <c r="P14" s="38">
        <f t="shared" si="5"/>
        <v>0</v>
      </c>
      <c r="Q14" s="41"/>
    </row>
    <row r="15" spans="2:17" s="10" customFormat="1" ht="46.5" customHeight="1" hidden="1">
      <c r="B15" s="144"/>
      <c r="C15" s="145"/>
      <c r="D15" s="145"/>
      <c r="E15" s="146"/>
      <c r="F15" s="58" t="s">
        <v>63</v>
      </c>
      <c r="G15" s="38">
        <f aca="true" t="shared" si="6" ref="G15:L15">G14*0.4</f>
        <v>53525057.6</v>
      </c>
      <c r="H15" s="38">
        <f t="shared" si="6"/>
        <v>850724.96</v>
      </c>
      <c r="I15" s="38">
        <f t="shared" si="6"/>
        <v>5926135.48</v>
      </c>
      <c r="J15" s="38">
        <f t="shared" si="6"/>
        <v>16949303.56</v>
      </c>
      <c r="K15" s="38">
        <f t="shared" si="6"/>
        <v>21038631.6</v>
      </c>
      <c r="L15" s="38">
        <f t="shared" si="6"/>
        <v>8760262</v>
      </c>
      <c r="M15" s="38"/>
      <c r="N15" s="38"/>
      <c r="O15" s="38">
        <v>46748198</v>
      </c>
      <c r="P15" s="38">
        <v>0</v>
      </c>
      <c r="Q15" s="41"/>
    </row>
    <row r="16" spans="2:17" s="10" customFormat="1" ht="12.75" customHeight="1" hidden="1">
      <c r="B16" s="147"/>
      <c r="C16" s="148"/>
      <c r="D16" s="148"/>
      <c r="E16" s="149"/>
      <c r="F16" s="58" t="s">
        <v>8</v>
      </c>
      <c r="G16" s="38">
        <f aca="true" t="shared" si="7" ref="G16:N16">SUMIF($F$21:$F$213,$F$16,G21:G213)</f>
        <v>54801145.800000004</v>
      </c>
      <c r="H16" s="38">
        <f t="shared" si="7"/>
        <v>2126812.4</v>
      </c>
      <c r="I16" s="38">
        <f t="shared" si="7"/>
        <v>5926135.2</v>
      </c>
      <c r="J16" s="38">
        <f t="shared" si="7"/>
        <v>16949303.4</v>
      </c>
      <c r="K16" s="38">
        <f t="shared" si="7"/>
        <v>21038632.8</v>
      </c>
      <c r="L16" s="38">
        <f t="shared" si="7"/>
        <v>8760262</v>
      </c>
      <c r="M16" s="38">
        <f t="shared" si="7"/>
        <v>0</v>
      </c>
      <c r="N16" s="38">
        <f t="shared" si="7"/>
        <v>0</v>
      </c>
      <c r="O16" s="38">
        <f>SUM(J16:L16)</f>
        <v>46748198.2</v>
      </c>
      <c r="P16" s="38">
        <f t="shared" si="5"/>
        <v>0</v>
      </c>
      <c r="Q16" s="41"/>
    </row>
    <row r="17" spans="2:17" s="10" customFormat="1" ht="12.75" customHeight="1" hidden="1">
      <c r="B17" s="147"/>
      <c r="C17" s="148"/>
      <c r="D17" s="148"/>
      <c r="E17" s="149"/>
      <c r="F17" s="52" t="s">
        <v>10</v>
      </c>
      <c r="G17" s="38">
        <f aca="true" t="shared" si="8" ref="G17:N17">SUMIF($F$21:$F$213,$F$17,G21:G213)</f>
        <v>79011498.19999999</v>
      </c>
      <c r="H17" s="38">
        <f t="shared" si="8"/>
        <v>0</v>
      </c>
      <c r="I17" s="38">
        <f t="shared" si="8"/>
        <v>8889203.5</v>
      </c>
      <c r="J17" s="38">
        <f t="shared" si="8"/>
        <v>25423955.5</v>
      </c>
      <c r="K17" s="38">
        <f t="shared" si="8"/>
        <v>31557946.2</v>
      </c>
      <c r="L17" s="38">
        <f t="shared" si="8"/>
        <v>13140393</v>
      </c>
      <c r="M17" s="38">
        <f t="shared" si="8"/>
        <v>0</v>
      </c>
      <c r="N17" s="38">
        <f t="shared" si="8"/>
        <v>0</v>
      </c>
      <c r="O17" s="38">
        <f>SUM(J17:L17)</f>
        <v>70122294.7</v>
      </c>
      <c r="P17" s="38">
        <f t="shared" si="5"/>
        <v>0</v>
      </c>
      <c r="Q17" s="41"/>
    </row>
    <row r="18" spans="2:17" s="10" customFormat="1" ht="12.75" customHeight="1" hidden="1">
      <c r="B18" s="144"/>
      <c r="C18" s="145"/>
      <c r="D18" s="145"/>
      <c r="E18" s="146"/>
      <c r="F18" s="39" t="s">
        <v>38</v>
      </c>
      <c r="G18" s="38">
        <f aca="true" t="shared" si="9" ref="G18:N18">SUMIF($F$21:$F$213,$F$18,G21:G213)</f>
        <v>28956494.470000003</v>
      </c>
      <c r="H18" s="38">
        <f t="shared" si="9"/>
        <v>175635.75</v>
      </c>
      <c r="I18" s="38">
        <f t="shared" si="9"/>
        <v>3189112.69</v>
      </c>
      <c r="J18" s="38">
        <f t="shared" si="9"/>
        <v>9202355.23</v>
      </c>
      <c r="K18" s="38">
        <f t="shared" si="9"/>
        <v>11571246.78</v>
      </c>
      <c r="L18" s="38">
        <f t="shared" si="9"/>
        <v>4818144.02</v>
      </c>
      <c r="M18" s="38">
        <f t="shared" si="9"/>
        <v>0</v>
      </c>
      <c r="N18" s="38">
        <f t="shared" si="9"/>
        <v>0</v>
      </c>
      <c r="O18" s="38">
        <f>SUM(J18:L18)</f>
        <v>25591746.029999997</v>
      </c>
      <c r="P18" s="38">
        <f t="shared" si="5"/>
        <v>0</v>
      </c>
      <c r="Q18" s="41"/>
    </row>
    <row r="19" spans="1:16" s="5" customFormat="1" ht="12.75" customHeight="1">
      <c r="A19" s="53"/>
      <c r="B19" s="53"/>
      <c r="C19" s="2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54"/>
    </row>
    <row r="20" spans="2:16" s="10" customFormat="1" ht="12.75" customHeight="1">
      <c r="B20" s="129" t="s">
        <v>34</v>
      </c>
      <c r="C20" s="130"/>
      <c r="D20" s="130"/>
      <c r="E20" s="131"/>
      <c r="F20" s="49" t="s">
        <v>36</v>
      </c>
      <c r="G20" s="50">
        <f>SUBTOTAL(9,G21:G56)</f>
        <v>22058027.97</v>
      </c>
      <c r="H20" s="50">
        <f>SUBTOTAL(9,H21:H56)</f>
        <v>2072914</v>
      </c>
      <c r="I20" s="50">
        <f>SUBTOTAL(9,I21:I56)</f>
        <v>9693161.969999999</v>
      </c>
      <c r="J20" s="50">
        <f aca="true" t="shared" si="10" ref="J20:O20">SUBTOTAL(9,J21:J56)</f>
        <v>8446702</v>
      </c>
      <c r="K20" s="50">
        <f t="shared" si="10"/>
        <v>1845250</v>
      </c>
      <c r="L20" s="50">
        <f t="shared" si="10"/>
        <v>0</v>
      </c>
      <c r="M20" s="50">
        <f t="shared" si="10"/>
        <v>0</v>
      </c>
      <c r="N20" s="50">
        <f t="shared" si="10"/>
        <v>0</v>
      </c>
      <c r="O20" s="50">
        <f t="shared" si="10"/>
        <v>10291952</v>
      </c>
      <c r="P20" s="43"/>
    </row>
    <row r="21" spans="1:17" s="10" customFormat="1" ht="54.75" customHeight="1">
      <c r="A21" s="97">
        <v>1</v>
      </c>
      <c r="B21" s="97">
        <v>1</v>
      </c>
      <c r="C21" s="114" t="s">
        <v>86</v>
      </c>
      <c r="D21" s="94">
        <v>2007</v>
      </c>
      <c r="E21" s="94">
        <v>2008</v>
      </c>
      <c r="F21" s="23" t="s">
        <v>110</v>
      </c>
      <c r="G21" s="11">
        <f aca="true" t="shared" si="11" ref="G21:P21">SUBTOTAL(9,G22:G24)</f>
        <v>10179738.97</v>
      </c>
      <c r="H21" s="11">
        <f t="shared" si="11"/>
        <v>2072853</v>
      </c>
      <c r="I21" s="11">
        <f>SUBTOTAL(9,I22:I24)</f>
        <v>8106885.97</v>
      </c>
      <c r="J21" s="11">
        <f>SUBTOTAL(9,J22:J24)</f>
        <v>0</v>
      </c>
      <c r="K21" s="11">
        <f>SUBTOTAL(9,K22:K24)</f>
        <v>0</v>
      </c>
      <c r="L21" s="11">
        <f>SUBTOTAL(9,L22:L24)</f>
        <v>0</v>
      </c>
      <c r="M21" s="11">
        <f>SUBTOTAL(9,M22:M24)</f>
        <v>0</v>
      </c>
      <c r="N21" s="11">
        <f t="shared" si="11"/>
        <v>0</v>
      </c>
      <c r="O21" s="11">
        <f t="shared" si="11"/>
        <v>0</v>
      </c>
      <c r="P21" s="11">
        <f t="shared" si="11"/>
        <v>0</v>
      </c>
      <c r="Q21" s="34"/>
    </row>
    <row r="22" spans="1:16" s="10" customFormat="1" ht="12.75" customHeight="1" hidden="1">
      <c r="A22" s="98"/>
      <c r="B22" s="98"/>
      <c r="C22" s="115"/>
      <c r="D22" s="95"/>
      <c r="E22" s="95"/>
      <c r="F22" s="23" t="s">
        <v>8</v>
      </c>
      <c r="G22" s="11">
        <f>H22+I22</f>
        <v>4566119.4</v>
      </c>
      <c r="H22" s="9">
        <v>1908124</v>
      </c>
      <c r="I22" s="9">
        <f>6644988.5*0.4</f>
        <v>2657995.4000000004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4">
        <f>SUM(J22:N22)</f>
        <v>0</v>
      </c>
      <c r="P22" s="12">
        <f>G22-H22-I22-O22</f>
        <v>0</v>
      </c>
    </row>
    <row r="23" spans="1:16" s="10" customFormat="1" ht="12.75" customHeight="1" hidden="1">
      <c r="A23" s="98"/>
      <c r="B23" s="98"/>
      <c r="C23" s="115"/>
      <c r="D23" s="95"/>
      <c r="E23" s="95"/>
      <c r="F23" s="3" t="s">
        <v>10</v>
      </c>
      <c r="G23" s="9">
        <f>H23+I23</f>
        <v>3986993.0999999996</v>
      </c>
      <c r="H23" s="9">
        <v>0</v>
      </c>
      <c r="I23" s="9">
        <f>6644988.5*0.6</f>
        <v>3986993.0999999996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4">
        <f>SUM(J23:N23)</f>
        <v>0</v>
      </c>
      <c r="P23" s="12">
        <f>G23-H23-I23-O23</f>
        <v>0</v>
      </c>
    </row>
    <row r="24" spans="1:16" s="10" customFormat="1" ht="12" customHeight="1" hidden="1">
      <c r="A24" s="99"/>
      <c r="B24" s="99"/>
      <c r="C24" s="116"/>
      <c r="D24" s="96"/>
      <c r="E24" s="96"/>
      <c r="F24" s="3" t="s">
        <v>38</v>
      </c>
      <c r="G24" s="9">
        <f>H24+I24</f>
        <v>1626626.47</v>
      </c>
      <c r="H24" s="9">
        <v>164729</v>
      </c>
      <c r="I24" s="9">
        <f>6644988.5*0.22</f>
        <v>1461897.47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4">
        <f>SUM(J24:N24)</f>
        <v>0</v>
      </c>
      <c r="P24" s="12">
        <f>G24-H24-I24-O24</f>
        <v>0</v>
      </c>
    </row>
    <row r="25" spans="1:16" s="10" customFormat="1" ht="139.5" customHeight="1">
      <c r="A25" s="97">
        <v>2</v>
      </c>
      <c r="B25" s="97">
        <v>2</v>
      </c>
      <c r="C25" s="100" t="s">
        <v>49</v>
      </c>
      <c r="D25" s="94">
        <v>2008</v>
      </c>
      <c r="E25" s="94">
        <v>2008</v>
      </c>
      <c r="F25" s="23" t="s">
        <v>110</v>
      </c>
      <c r="G25" s="11">
        <f>SUBTOTAL(9,G26:G28)</f>
        <v>293776</v>
      </c>
      <c r="H25" s="11">
        <f>SUBTOTAL(9,H26:H28)</f>
        <v>0</v>
      </c>
      <c r="I25" s="11">
        <f>SUBTOTAL(9,I26:I28)</f>
        <v>293776</v>
      </c>
      <c r="J25" s="11">
        <f aca="true" t="shared" si="12" ref="J25:P25">SUBTOTAL(9,J26:J28)</f>
        <v>0</v>
      </c>
      <c r="K25" s="11">
        <f t="shared" si="12"/>
        <v>0</v>
      </c>
      <c r="L25" s="11">
        <f t="shared" si="12"/>
        <v>0</v>
      </c>
      <c r="M25" s="11">
        <f t="shared" si="12"/>
        <v>0</v>
      </c>
      <c r="N25" s="11">
        <f t="shared" si="12"/>
        <v>0</v>
      </c>
      <c r="O25" s="11">
        <f t="shared" si="12"/>
        <v>0</v>
      </c>
      <c r="P25" s="11">
        <f t="shared" si="12"/>
        <v>0</v>
      </c>
    </row>
    <row r="26" spans="1:16" s="10" customFormat="1" ht="24.75" customHeight="1" hidden="1">
      <c r="A26" s="98"/>
      <c r="B26" s="98"/>
      <c r="C26" s="101"/>
      <c r="D26" s="95"/>
      <c r="E26" s="95"/>
      <c r="F26" s="23" t="s">
        <v>8</v>
      </c>
      <c r="G26" s="11">
        <v>96320</v>
      </c>
      <c r="H26" s="9">
        <v>0</v>
      </c>
      <c r="I26" s="11">
        <f>240800*0.4</f>
        <v>96320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4">
        <f>SUM(J26:N26)</f>
        <v>0</v>
      </c>
      <c r="P26" s="12">
        <f>G26-H26-I26-O26</f>
        <v>0</v>
      </c>
    </row>
    <row r="27" spans="1:16" s="10" customFormat="1" ht="24.75" customHeight="1" hidden="1">
      <c r="A27" s="98"/>
      <c r="B27" s="98"/>
      <c r="C27" s="101"/>
      <c r="D27" s="95"/>
      <c r="E27" s="95"/>
      <c r="F27" s="3" t="s">
        <v>10</v>
      </c>
      <c r="G27" s="9">
        <v>144480</v>
      </c>
      <c r="H27" s="9">
        <v>0</v>
      </c>
      <c r="I27" s="11">
        <f>240800*0.6</f>
        <v>144480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4">
        <f>SUM(J27:N27)</f>
        <v>0</v>
      </c>
      <c r="P27" s="12">
        <f>G27-H27-I27-O27</f>
        <v>0</v>
      </c>
    </row>
    <row r="28" spans="1:16" s="10" customFormat="1" ht="59.25" customHeight="1" hidden="1">
      <c r="A28" s="99"/>
      <c r="B28" s="99"/>
      <c r="C28" s="102"/>
      <c r="D28" s="96"/>
      <c r="E28" s="96"/>
      <c r="F28" s="3" t="s">
        <v>38</v>
      </c>
      <c r="G28" s="9">
        <v>52976</v>
      </c>
      <c r="H28" s="9">
        <v>0</v>
      </c>
      <c r="I28" s="11">
        <f>240800*0.22</f>
        <v>52976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4">
        <f>SUM(J28:N28)</f>
        <v>0</v>
      </c>
      <c r="P28" s="12">
        <f>G28-H28-I28-O28</f>
        <v>0</v>
      </c>
    </row>
    <row r="29" spans="1:16" s="10" customFormat="1" ht="45" customHeight="1">
      <c r="A29" s="97">
        <v>3</v>
      </c>
      <c r="B29" s="97">
        <v>3</v>
      </c>
      <c r="C29" s="100" t="s">
        <v>73</v>
      </c>
      <c r="D29" s="94">
        <v>2007</v>
      </c>
      <c r="E29" s="94">
        <v>2009</v>
      </c>
      <c r="F29" s="23" t="s">
        <v>110</v>
      </c>
      <c r="G29" s="11">
        <f>SUBTOTAL(9,G30:G32)</f>
        <v>2585061</v>
      </c>
      <c r="H29" s="11">
        <f>SUBTOTAL(9,H30:H32)</f>
        <v>61</v>
      </c>
      <c r="I29" s="11">
        <f aca="true" t="shared" si="13" ref="I29:P29">SUBTOTAL(9,I30:I32)</f>
        <v>1292500</v>
      </c>
      <c r="J29" s="11">
        <f t="shared" si="13"/>
        <v>1292500</v>
      </c>
      <c r="K29" s="11">
        <f t="shared" si="13"/>
        <v>0</v>
      </c>
      <c r="L29" s="11">
        <f t="shared" si="13"/>
        <v>0</v>
      </c>
      <c r="M29" s="11">
        <f t="shared" si="13"/>
        <v>0</v>
      </c>
      <c r="N29" s="11">
        <f t="shared" si="13"/>
        <v>0</v>
      </c>
      <c r="O29" s="11">
        <f t="shared" si="13"/>
        <v>1292500</v>
      </c>
      <c r="P29" s="11">
        <f t="shared" si="13"/>
        <v>0</v>
      </c>
    </row>
    <row r="30" spans="1:16" s="10" customFormat="1" ht="12.75" customHeight="1" hidden="1">
      <c r="A30" s="98"/>
      <c r="B30" s="98"/>
      <c r="C30" s="101"/>
      <c r="D30" s="95"/>
      <c r="E30" s="95"/>
      <c r="F30" s="23" t="s">
        <v>8</v>
      </c>
      <c r="G30" s="13">
        <f>H30+I30+J30</f>
        <v>847590</v>
      </c>
      <c r="H30" s="9">
        <v>50</v>
      </c>
      <c r="I30" s="11">
        <f>(963115+96310)*0.4</f>
        <v>423770</v>
      </c>
      <c r="J30" s="11">
        <f>(963115+96310)*0.4</f>
        <v>423770</v>
      </c>
      <c r="K30" s="9">
        <v>0</v>
      </c>
      <c r="L30" s="9">
        <v>0</v>
      </c>
      <c r="M30" s="9">
        <v>0</v>
      </c>
      <c r="N30" s="9">
        <v>0</v>
      </c>
      <c r="O30" s="14">
        <f>SUM(J30:N30)</f>
        <v>423770</v>
      </c>
      <c r="P30" s="12">
        <f>G30-H30-I30-O30</f>
        <v>0</v>
      </c>
    </row>
    <row r="31" spans="1:16" s="10" customFormat="1" ht="12.75" customHeight="1" hidden="1">
      <c r="A31" s="98"/>
      <c r="B31" s="98"/>
      <c r="C31" s="101"/>
      <c r="D31" s="95"/>
      <c r="E31" s="95"/>
      <c r="F31" s="3" t="s">
        <v>10</v>
      </c>
      <c r="G31" s="13">
        <f>H31+I31+J31</f>
        <v>1271312</v>
      </c>
      <c r="H31" s="9">
        <v>0</v>
      </c>
      <c r="I31" s="11">
        <v>635656</v>
      </c>
      <c r="J31" s="11">
        <v>635656</v>
      </c>
      <c r="K31" s="9">
        <v>0</v>
      </c>
      <c r="L31" s="9">
        <v>0</v>
      </c>
      <c r="M31" s="9">
        <v>0</v>
      </c>
      <c r="N31" s="9">
        <v>0</v>
      </c>
      <c r="O31" s="14">
        <f>SUM(J31:N31)</f>
        <v>635656</v>
      </c>
      <c r="P31" s="12">
        <f>G31-H31-I31-O31</f>
        <v>0</v>
      </c>
    </row>
    <row r="32" spans="1:16" s="10" customFormat="1" ht="12.75" customHeight="1" hidden="1">
      <c r="A32" s="99"/>
      <c r="B32" s="99"/>
      <c r="C32" s="102"/>
      <c r="D32" s="96"/>
      <c r="E32" s="96"/>
      <c r="F32" s="3" t="s">
        <v>38</v>
      </c>
      <c r="G32" s="13">
        <f>H32+I32+J32</f>
        <v>466159</v>
      </c>
      <c r="H32" s="9">
        <v>11</v>
      </c>
      <c r="I32" s="11">
        <v>233074</v>
      </c>
      <c r="J32" s="11">
        <v>233074</v>
      </c>
      <c r="K32" s="9">
        <v>0</v>
      </c>
      <c r="L32" s="9">
        <v>0</v>
      </c>
      <c r="M32" s="9">
        <v>0</v>
      </c>
      <c r="N32" s="9">
        <v>0</v>
      </c>
      <c r="O32" s="14">
        <f>SUM(J32:N32)</f>
        <v>233074</v>
      </c>
      <c r="P32" s="12">
        <f>G32-H32-I32-O32</f>
        <v>0</v>
      </c>
    </row>
    <row r="33" spans="1:16" s="10" customFormat="1" ht="43.5" customHeight="1">
      <c r="A33" s="97">
        <v>3</v>
      </c>
      <c r="B33" s="77">
        <v>4</v>
      </c>
      <c r="C33" s="78" t="s">
        <v>43</v>
      </c>
      <c r="D33" s="79">
        <v>2009</v>
      </c>
      <c r="E33" s="79">
        <v>2009</v>
      </c>
      <c r="F33" s="23" t="s">
        <v>110</v>
      </c>
      <c r="G33" s="11">
        <f>SUBTOTAL(9,G34:G36)</f>
        <v>3247640</v>
      </c>
      <c r="H33" s="11">
        <f>SUBTOTAL(9,H34:H36)</f>
        <v>0</v>
      </c>
      <c r="I33" s="11">
        <f aca="true" t="shared" si="14" ref="I33:P33">SUBTOTAL(9,I34:I36)</f>
        <v>0</v>
      </c>
      <c r="J33" s="11">
        <f t="shared" si="14"/>
        <v>3247640</v>
      </c>
      <c r="K33" s="11">
        <f t="shared" si="14"/>
        <v>0</v>
      </c>
      <c r="L33" s="11">
        <f t="shared" si="14"/>
        <v>0</v>
      </c>
      <c r="M33" s="11">
        <f t="shared" si="14"/>
        <v>0</v>
      </c>
      <c r="N33" s="11">
        <f t="shared" si="14"/>
        <v>0</v>
      </c>
      <c r="O33" s="11">
        <f t="shared" si="14"/>
        <v>3247640</v>
      </c>
      <c r="P33" s="11">
        <f t="shared" si="14"/>
        <v>0</v>
      </c>
    </row>
    <row r="34" spans="1:16" s="10" customFormat="1" ht="39.75" customHeight="1" hidden="1">
      <c r="A34" s="98"/>
      <c r="B34" s="73"/>
      <c r="C34" s="71"/>
      <c r="D34" s="75"/>
      <c r="E34" s="75"/>
      <c r="F34" s="23" t="s">
        <v>8</v>
      </c>
      <c r="G34" s="13">
        <v>1064800</v>
      </c>
      <c r="H34" s="9">
        <v>0</v>
      </c>
      <c r="I34" s="9">
        <v>0</v>
      </c>
      <c r="J34" s="11">
        <f>(2420000+242000)*0.4</f>
        <v>1064800</v>
      </c>
      <c r="K34" s="9">
        <v>0</v>
      </c>
      <c r="L34" s="9">
        <v>0</v>
      </c>
      <c r="M34" s="9">
        <v>0</v>
      </c>
      <c r="N34" s="9">
        <v>0</v>
      </c>
      <c r="O34" s="14">
        <f>SUM(J34:N34)</f>
        <v>1064800</v>
      </c>
      <c r="P34" s="12">
        <f>G34-H34-I34-O34</f>
        <v>0</v>
      </c>
    </row>
    <row r="35" spans="1:16" s="10" customFormat="1" ht="39.75" customHeight="1" hidden="1">
      <c r="A35" s="98"/>
      <c r="B35" s="73"/>
      <c r="C35" s="71"/>
      <c r="D35" s="75"/>
      <c r="E35" s="75"/>
      <c r="F35" s="3" t="s">
        <v>10</v>
      </c>
      <c r="G35" s="9">
        <v>1597200</v>
      </c>
      <c r="H35" s="9">
        <v>0</v>
      </c>
      <c r="I35" s="9">
        <v>0</v>
      </c>
      <c r="J35" s="11">
        <f>(2420000+242000)*0.6</f>
        <v>1597200</v>
      </c>
      <c r="K35" s="9">
        <v>0</v>
      </c>
      <c r="L35" s="9">
        <v>0</v>
      </c>
      <c r="M35" s="9">
        <v>0</v>
      </c>
      <c r="N35" s="9">
        <v>0</v>
      </c>
      <c r="O35" s="14">
        <f>SUM(J35:N35)</f>
        <v>1597200</v>
      </c>
      <c r="P35" s="12">
        <f>G35-H35-I35-O35</f>
        <v>0</v>
      </c>
    </row>
    <row r="36" spans="1:16" s="10" customFormat="1" ht="39.75" customHeight="1" hidden="1">
      <c r="A36" s="99"/>
      <c r="B36" s="74"/>
      <c r="C36" s="72"/>
      <c r="D36" s="76"/>
      <c r="E36" s="76"/>
      <c r="F36" s="3" t="s">
        <v>38</v>
      </c>
      <c r="G36" s="9">
        <v>585640</v>
      </c>
      <c r="H36" s="9">
        <v>0</v>
      </c>
      <c r="I36" s="9">
        <v>0</v>
      </c>
      <c r="J36" s="11">
        <f>(2420000+242000)*0.22</f>
        <v>585640</v>
      </c>
      <c r="K36" s="9">
        <v>0</v>
      </c>
      <c r="L36" s="9">
        <v>0</v>
      </c>
      <c r="M36" s="9">
        <v>0</v>
      </c>
      <c r="N36" s="9">
        <v>0</v>
      </c>
      <c r="O36" s="14">
        <f>SUM(J36:N36)</f>
        <v>585640</v>
      </c>
      <c r="P36" s="12">
        <f>G36-H36-I36-O36</f>
        <v>0</v>
      </c>
    </row>
    <row r="37" spans="1:16" s="10" customFormat="1" ht="30" customHeight="1">
      <c r="A37" s="97">
        <v>5</v>
      </c>
      <c r="B37" s="77">
        <v>5</v>
      </c>
      <c r="C37" s="78" t="s">
        <v>50</v>
      </c>
      <c r="D37" s="79">
        <v>2009</v>
      </c>
      <c r="E37" s="79">
        <v>2009</v>
      </c>
      <c r="F37" s="23" t="s">
        <v>110</v>
      </c>
      <c r="G37" s="11">
        <f>SUBTOTAL(9,G38:G40)</f>
        <v>954162</v>
      </c>
      <c r="H37" s="11">
        <f>SUBTOTAL(9,H38:H40)</f>
        <v>0</v>
      </c>
      <c r="I37" s="11">
        <f aca="true" t="shared" si="15" ref="I37:P37">SUBTOTAL(9,I38:I40)</f>
        <v>0</v>
      </c>
      <c r="J37" s="11">
        <f t="shared" si="15"/>
        <v>954162</v>
      </c>
      <c r="K37" s="11">
        <f t="shared" si="15"/>
        <v>0</v>
      </c>
      <c r="L37" s="11">
        <f t="shared" si="15"/>
        <v>0</v>
      </c>
      <c r="M37" s="11">
        <f t="shared" si="15"/>
        <v>0</v>
      </c>
      <c r="N37" s="11">
        <f t="shared" si="15"/>
        <v>0</v>
      </c>
      <c r="O37" s="11">
        <f t="shared" si="15"/>
        <v>954162</v>
      </c>
      <c r="P37" s="11">
        <f t="shared" si="15"/>
        <v>0</v>
      </c>
    </row>
    <row r="38" spans="1:16" s="10" customFormat="1" ht="12.75" customHeight="1" hidden="1">
      <c r="A38" s="98"/>
      <c r="B38" s="73"/>
      <c r="C38" s="71"/>
      <c r="D38" s="75"/>
      <c r="E38" s="75"/>
      <c r="F38" s="23" t="s">
        <v>8</v>
      </c>
      <c r="G38" s="13">
        <f>J38</f>
        <v>312840</v>
      </c>
      <c r="H38" s="9">
        <v>0</v>
      </c>
      <c r="I38" s="9"/>
      <c r="J38" s="9">
        <f>(711000+71100)*0.4</f>
        <v>312840</v>
      </c>
      <c r="K38" s="9">
        <v>0</v>
      </c>
      <c r="L38" s="9">
        <v>0</v>
      </c>
      <c r="M38" s="9">
        <v>0</v>
      </c>
      <c r="N38" s="9">
        <v>0</v>
      </c>
      <c r="O38" s="14">
        <f>SUM(J38:N38)</f>
        <v>312840</v>
      </c>
      <c r="P38" s="12">
        <f>G38-H38-I38-O38</f>
        <v>0</v>
      </c>
    </row>
    <row r="39" spans="1:16" s="10" customFormat="1" ht="12.75" customHeight="1" hidden="1">
      <c r="A39" s="98"/>
      <c r="B39" s="73"/>
      <c r="C39" s="71"/>
      <c r="D39" s="75"/>
      <c r="E39" s="75"/>
      <c r="F39" s="3" t="s">
        <v>10</v>
      </c>
      <c r="G39" s="13">
        <f>J39</f>
        <v>469260</v>
      </c>
      <c r="H39" s="9">
        <v>0</v>
      </c>
      <c r="I39" s="9"/>
      <c r="J39" s="9">
        <f>(711000+71100)*0.6</f>
        <v>469260</v>
      </c>
      <c r="K39" s="9">
        <v>0</v>
      </c>
      <c r="L39" s="9">
        <v>0</v>
      </c>
      <c r="M39" s="9">
        <v>0</v>
      </c>
      <c r="N39" s="9">
        <v>0</v>
      </c>
      <c r="O39" s="14">
        <f>SUM(J39:N39)</f>
        <v>469260</v>
      </c>
      <c r="P39" s="12">
        <f>G39-H39-I39-O39</f>
        <v>0</v>
      </c>
    </row>
    <row r="40" spans="1:16" s="10" customFormat="1" ht="12.75" customHeight="1" hidden="1">
      <c r="A40" s="99"/>
      <c r="B40" s="74"/>
      <c r="C40" s="72"/>
      <c r="D40" s="76"/>
      <c r="E40" s="76"/>
      <c r="F40" s="3" t="s">
        <v>38</v>
      </c>
      <c r="G40" s="13">
        <f>J40</f>
        <v>172062</v>
      </c>
      <c r="H40" s="31">
        <v>0</v>
      </c>
      <c r="I40" s="9"/>
      <c r="J40" s="9">
        <f>(711000+71100)*0.22</f>
        <v>172062</v>
      </c>
      <c r="K40" s="9">
        <v>0</v>
      </c>
      <c r="L40" s="9">
        <v>0</v>
      </c>
      <c r="M40" s="9">
        <v>0</v>
      </c>
      <c r="N40" s="9">
        <v>0</v>
      </c>
      <c r="O40" s="14">
        <f>SUM(J40:N40)</f>
        <v>172062</v>
      </c>
      <c r="P40" s="12">
        <f>G40-H40-I40-O40</f>
        <v>0</v>
      </c>
    </row>
    <row r="41" spans="1:16" s="10" customFormat="1" ht="30" customHeight="1">
      <c r="A41" s="97">
        <v>7</v>
      </c>
      <c r="B41" s="97">
        <v>6</v>
      </c>
      <c r="C41" s="100" t="s">
        <v>52</v>
      </c>
      <c r="D41" s="94">
        <v>2009</v>
      </c>
      <c r="E41" s="94">
        <v>2009</v>
      </c>
      <c r="F41" s="23" t="s">
        <v>110</v>
      </c>
      <c r="G41" s="11">
        <f>SUBTOTAL(9,G42:G44)</f>
        <v>1121912</v>
      </c>
      <c r="H41" s="11">
        <f>SUBTOTAL(9,H42:H44)</f>
        <v>0</v>
      </c>
      <c r="I41" s="11">
        <f aca="true" t="shared" si="16" ref="I41:P41">SUBTOTAL(9,I42:I44)</f>
        <v>0</v>
      </c>
      <c r="J41" s="11">
        <f t="shared" si="16"/>
        <v>1121912</v>
      </c>
      <c r="K41" s="11">
        <f t="shared" si="16"/>
        <v>0</v>
      </c>
      <c r="L41" s="11">
        <f t="shared" si="16"/>
        <v>0</v>
      </c>
      <c r="M41" s="11">
        <f t="shared" si="16"/>
        <v>0</v>
      </c>
      <c r="N41" s="11">
        <f t="shared" si="16"/>
        <v>0</v>
      </c>
      <c r="O41" s="11">
        <f t="shared" si="16"/>
        <v>1121912</v>
      </c>
      <c r="P41" s="11">
        <f t="shared" si="16"/>
        <v>0</v>
      </c>
    </row>
    <row r="42" spans="1:16" s="10" customFormat="1" ht="12.75" customHeight="1" hidden="1">
      <c r="A42" s="98"/>
      <c r="B42" s="98"/>
      <c r="C42" s="101"/>
      <c r="D42" s="95"/>
      <c r="E42" s="95"/>
      <c r="F42" s="23" t="s">
        <v>8</v>
      </c>
      <c r="G42" s="11">
        <v>367840</v>
      </c>
      <c r="H42" s="9">
        <v>0</v>
      </c>
      <c r="I42" s="11"/>
      <c r="J42" s="11">
        <f>(836000+83600)*0.4</f>
        <v>367840</v>
      </c>
      <c r="K42" s="9">
        <v>0</v>
      </c>
      <c r="L42" s="9">
        <v>0</v>
      </c>
      <c r="M42" s="9">
        <v>0</v>
      </c>
      <c r="N42" s="9">
        <v>0</v>
      </c>
      <c r="O42" s="14">
        <f>SUM(J42:N42)</f>
        <v>367840</v>
      </c>
      <c r="P42" s="12">
        <f>G42-H42-I42-O42</f>
        <v>0</v>
      </c>
    </row>
    <row r="43" spans="1:16" s="10" customFormat="1" ht="12.75" customHeight="1" hidden="1">
      <c r="A43" s="98"/>
      <c r="B43" s="98"/>
      <c r="C43" s="101"/>
      <c r="D43" s="95"/>
      <c r="E43" s="95"/>
      <c r="F43" s="3" t="s">
        <v>10</v>
      </c>
      <c r="G43" s="9">
        <v>551760</v>
      </c>
      <c r="H43" s="9">
        <v>0</v>
      </c>
      <c r="I43" s="9"/>
      <c r="J43" s="11">
        <f>(836000+83600)*0.6</f>
        <v>551760</v>
      </c>
      <c r="K43" s="9">
        <v>0</v>
      </c>
      <c r="L43" s="9">
        <v>0</v>
      </c>
      <c r="M43" s="9">
        <v>0</v>
      </c>
      <c r="N43" s="9">
        <v>0</v>
      </c>
      <c r="O43" s="14">
        <f>SUM(J43:N43)</f>
        <v>551760</v>
      </c>
      <c r="P43" s="12">
        <f>G43-H43-I43-O43</f>
        <v>0</v>
      </c>
    </row>
    <row r="44" spans="1:16" s="10" customFormat="1" ht="12.75" customHeight="1" hidden="1">
      <c r="A44" s="99"/>
      <c r="B44" s="99"/>
      <c r="C44" s="102"/>
      <c r="D44" s="96"/>
      <c r="E44" s="96"/>
      <c r="F44" s="3" t="s">
        <v>38</v>
      </c>
      <c r="G44" s="9">
        <v>202312</v>
      </c>
      <c r="H44" s="9">
        <v>0</v>
      </c>
      <c r="I44" s="9"/>
      <c r="J44" s="11">
        <f>(836000+83600)*0.22</f>
        <v>202312</v>
      </c>
      <c r="K44" s="9">
        <v>0</v>
      </c>
      <c r="L44" s="9">
        <v>0</v>
      </c>
      <c r="M44" s="9">
        <v>0</v>
      </c>
      <c r="N44" s="9">
        <v>0</v>
      </c>
      <c r="O44" s="14">
        <f>SUM(J44:N44)</f>
        <v>202312</v>
      </c>
      <c r="P44" s="12">
        <f>G44-H44-I44-O44</f>
        <v>0</v>
      </c>
    </row>
    <row r="45" spans="1:16" s="10" customFormat="1" ht="30" customHeight="1">
      <c r="A45" s="97">
        <v>8</v>
      </c>
      <c r="B45" s="97">
        <v>7</v>
      </c>
      <c r="C45" s="100" t="s">
        <v>53</v>
      </c>
      <c r="D45" s="94">
        <v>2009</v>
      </c>
      <c r="E45" s="94">
        <v>2009</v>
      </c>
      <c r="F45" s="23" t="s">
        <v>110</v>
      </c>
      <c r="G45" s="11">
        <f>SUBTOTAL(9,G46:G48)</f>
        <v>1830488</v>
      </c>
      <c r="H45" s="11">
        <f>SUBTOTAL(9,H46:H48)</f>
        <v>0</v>
      </c>
      <c r="I45" s="11">
        <f aca="true" t="shared" si="17" ref="I45:P45">SUBTOTAL(9,I46:I48)</f>
        <v>0</v>
      </c>
      <c r="J45" s="11">
        <f t="shared" si="17"/>
        <v>1830488</v>
      </c>
      <c r="K45" s="11">
        <f t="shared" si="17"/>
        <v>0</v>
      </c>
      <c r="L45" s="11">
        <f t="shared" si="17"/>
        <v>0</v>
      </c>
      <c r="M45" s="11">
        <f t="shared" si="17"/>
        <v>0</v>
      </c>
      <c r="N45" s="11">
        <f t="shared" si="17"/>
        <v>0</v>
      </c>
      <c r="O45" s="11">
        <f t="shared" si="17"/>
        <v>1830488</v>
      </c>
      <c r="P45" s="11">
        <f t="shared" si="17"/>
        <v>0</v>
      </c>
    </row>
    <row r="46" spans="1:16" s="10" customFormat="1" ht="12.75" customHeight="1" hidden="1">
      <c r="A46" s="98"/>
      <c r="B46" s="98"/>
      <c r="C46" s="101"/>
      <c r="D46" s="95"/>
      <c r="E46" s="95"/>
      <c r="F46" s="23" t="s">
        <v>8</v>
      </c>
      <c r="G46" s="11">
        <v>600160</v>
      </c>
      <c r="H46" s="9">
        <v>0</v>
      </c>
      <c r="I46" s="9">
        <v>0</v>
      </c>
      <c r="J46" s="9">
        <f>(1364000+136400)*0.4</f>
        <v>600160</v>
      </c>
      <c r="K46" s="11"/>
      <c r="L46" s="9">
        <v>0</v>
      </c>
      <c r="M46" s="9">
        <v>0</v>
      </c>
      <c r="N46" s="9">
        <v>0</v>
      </c>
      <c r="O46" s="14">
        <f>SUM(J46:N46)</f>
        <v>600160</v>
      </c>
      <c r="P46" s="12">
        <f>G46-H46-I46-O46</f>
        <v>0</v>
      </c>
    </row>
    <row r="47" spans="1:16" s="10" customFormat="1" ht="12.75" customHeight="1" hidden="1">
      <c r="A47" s="98"/>
      <c r="B47" s="98"/>
      <c r="C47" s="101"/>
      <c r="D47" s="95"/>
      <c r="E47" s="95"/>
      <c r="F47" s="3" t="s">
        <v>10</v>
      </c>
      <c r="G47" s="9">
        <v>900240</v>
      </c>
      <c r="H47" s="9">
        <v>0</v>
      </c>
      <c r="I47" s="9">
        <v>0</v>
      </c>
      <c r="J47" s="9">
        <f>(1364000+136400)*0.6</f>
        <v>900240</v>
      </c>
      <c r="K47" s="9"/>
      <c r="L47" s="9">
        <v>0</v>
      </c>
      <c r="M47" s="9">
        <v>0</v>
      </c>
      <c r="N47" s="9">
        <v>0</v>
      </c>
      <c r="O47" s="14">
        <f>SUM(J47:N47)</f>
        <v>900240</v>
      </c>
      <c r="P47" s="12">
        <f>G47-H47-I47-O47</f>
        <v>0</v>
      </c>
    </row>
    <row r="48" spans="1:16" s="10" customFormat="1" ht="12.75" customHeight="1" hidden="1">
      <c r="A48" s="99"/>
      <c r="B48" s="99"/>
      <c r="C48" s="102"/>
      <c r="D48" s="96"/>
      <c r="E48" s="96"/>
      <c r="F48" s="3" t="s">
        <v>38</v>
      </c>
      <c r="G48" s="9">
        <v>330088</v>
      </c>
      <c r="H48" s="9">
        <v>0</v>
      </c>
      <c r="I48" s="9">
        <v>0</v>
      </c>
      <c r="J48" s="9">
        <f>(1364000+136400)*0.22</f>
        <v>330088</v>
      </c>
      <c r="K48" s="9"/>
      <c r="L48" s="9">
        <v>0</v>
      </c>
      <c r="M48" s="9">
        <v>0</v>
      </c>
      <c r="N48" s="9">
        <v>0</v>
      </c>
      <c r="O48" s="14">
        <f>SUM(J48:N48)</f>
        <v>330088</v>
      </c>
      <c r="P48" s="12">
        <f>G48-H48-I48-O48</f>
        <v>0</v>
      </c>
    </row>
    <row r="49" spans="1:16" s="10" customFormat="1" ht="30" customHeight="1">
      <c r="A49" s="97">
        <v>7</v>
      </c>
      <c r="B49" s="97">
        <v>8</v>
      </c>
      <c r="C49" s="100" t="s">
        <v>51</v>
      </c>
      <c r="D49" s="94">
        <v>2010</v>
      </c>
      <c r="E49" s="94">
        <v>2010</v>
      </c>
      <c r="F49" s="23" t="s">
        <v>110</v>
      </c>
      <c r="G49" s="11">
        <f>SUBTOTAL(9,G50:G52)</f>
        <v>1180960</v>
      </c>
      <c r="H49" s="11">
        <f>SUBTOTAL(9,H50:H52)</f>
        <v>0</v>
      </c>
      <c r="I49" s="11">
        <f aca="true" t="shared" si="18" ref="I49:P49">SUBTOTAL(9,I50:I52)</f>
        <v>0</v>
      </c>
      <c r="J49" s="11">
        <f t="shared" si="18"/>
        <v>0</v>
      </c>
      <c r="K49" s="11">
        <f t="shared" si="18"/>
        <v>1180960</v>
      </c>
      <c r="L49" s="11">
        <f t="shared" si="18"/>
        <v>0</v>
      </c>
      <c r="M49" s="11">
        <f t="shared" si="18"/>
        <v>0</v>
      </c>
      <c r="N49" s="11">
        <f t="shared" si="18"/>
        <v>0</v>
      </c>
      <c r="O49" s="11">
        <f t="shared" si="18"/>
        <v>1180960</v>
      </c>
      <c r="P49" s="11">
        <f t="shared" si="18"/>
        <v>0</v>
      </c>
    </row>
    <row r="50" spans="1:16" s="10" customFormat="1" ht="12.75" customHeight="1" hidden="1">
      <c r="A50" s="98"/>
      <c r="B50" s="98"/>
      <c r="C50" s="101"/>
      <c r="D50" s="95"/>
      <c r="E50" s="95"/>
      <c r="F50" s="23" t="s">
        <v>8</v>
      </c>
      <c r="G50" s="11">
        <v>387200</v>
      </c>
      <c r="H50" s="9">
        <v>0</v>
      </c>
      <c r="I50" s="11"/>
      <c r="J50" s="11"/>
      <c r="K50" s="9">
        <f>(880000+88000)*0.4</f>
        <v>387200</v>
      </c>
      <c r="L50" s="9">
        <v>0</v>
      </c>
      <c r="M50" s="9">
        <v>0</v>
      </c>
      <c r="N50" s="9">
        <v>0</v>
      </c>
      <c r="O50" s="14">
        <f>SUM(J50:N50)</f>
        <v>387200</v>
      </c>
      <c r="P50" s="12">
        <f>G50-H50-I50-O50</f>
        <v>0</v>
      </c>
    </row>
    <row r="51" spans="1:16" s="10" customFormat="1" ht="12.75" customHeight="1" hidden="1">
      <c r="A51" s="98"/>
      <c r="B51" s="98"/>
      <c r="C51" s="101"/>
      <c r="D51" s="95"/>
      <c r="E51" s="95"/>
      <c r="F51" s="3" t="s">
        <v>10</v>
      </c>
      <c r="G51" s="9">
        <v>580800</v>
      </c>
      <c r="H51" s="9">
        <v>0</v>
      </c>
      <c r="I51" s="9"/>
      <c r="J51" s="9"/>
      <c r="K51" s="9">
        <f>(880000+88000)*0.6</f>
        <v>580800</v>
      </c>
      <c r="L51" s="9">
        <v>0</v>
      </c>
      <c r="M51" s="9">
        <v>0</v>
      </c>
      <c r="N51" s="9">
        <v>0</v>
      </c>
      <c r="O51" s="14">
        <f>SUM(J51:N51)</f>
        <v>580800</v>
      </c>
      <c r="P51" s="12">
        <f>G51-H51-I51-O51</f>
        <v>0</v>
      </c>
    </row>
    <row r="52" spans="1:16" s="10" customFormat="1" ht="12.75" customHeight="1" hidden="1">
      <c r="A52" s="99"/>
      <c r="B52" s="99"/>
      <c r="C52" s="102"/>
      <c r="D52" s="96"/>
      <c r="E52" s="96"/>
      <c r="F52" s="3" t="s">
        <v>38</v>
      </c>
      <c r="G52" s="9">
        <v>212960</v>
      </c>
      <c r="H52" s="9">
        <v>0</v>
      </c>
      <c r="I52" s="9"/>
      <c r="J52" s="9"/>
      <c r="K52" s="9">
        <f>(880000+88000)*0.22</f>
        <v>212960</v>
      </c>
      <c r="L52" s="9">
        <v>0</v>
      </c>
      <c r="M52" s="9">
        <v>0</v>
      </c>
      <c r="N52" s="9">
        <v>0</v>
      </c>
      <c r="O52" s="14">
        <f>SUM(J52:N52)</f>
        <v>212960</v>
      </c>
      <c r="P52" s="12">
        <f>G52-H52-I52-O52</f>
        <v>0</v>
      </c>
    </row>
    <row r="53" spans="1:16" s="10" customFormat="1" ht="30" customHeight="1">
      <c r="A53" s="97">
        <v>7</v>
      </c>
      <c r="B53" s="77">
        <v>9</v>
      </c>
      <c r="C53" s="78" t="s">
        <v>54</v>
      </c>
      <c r="D53" s="79">
        <v>2010</v>
      </c>
      <c r="E53" s="79">
        <v>2010</v>
      </c>
      <c r="F53" s="23" t="s">
        <v>110</v>
      </c>
      <c r="G53" s="11">
        <f>SUBTOTAL(9,G54:G56)</f>
        <v>664290</v>
      </c>
      <c r="H53" s="11">
        <f>SUBTOTAL(9,H54:H56)</f>
        <v>0</v>
      </c>
      <c r="I53" s="11">
        <f aca="true" t="shared" si="19" ref="I53:P53">SUBTOTAL(9,I54:I56)</f>
        <v>0</v>
      </c>
      <c r="J53" s="11">
        <f t="shared" si="19"/>
        <v>0</v>
      </c>
      <c r="K53" s="11">
        <f t="shared" si="19"/>
        <v>664290</v>
      </c>
      <c r="L53" s="11">
        <f t="shared" si="19"/>
        <v>0</v>
      </c>
      <c r="M53" s="11">
        <f t="shared" si="19"/>
        <v>0</v>
      </c>
      <c r="N53" s="11">
        <f t="shared" si="19"/>
        <v>0</v>
      </c>
      <c r="O53" s="11">
        <f t="shared" si="19"/>
        <v>664290</v>
      </c>
      <c r="P53" s="11">
        <f t="shared" si="19"/>
        <v>0</v>
      </c>
    </row>
    <row r="54" spans="1:16" s="10" customFormat="1" ht="12.75" customHeight="1" hidden="1">
      <c r="A54" s="98"/>
      <c r="B54" s="73"/>
      <c r="C54" s="71"/>
      <c r="D54" s="75"/>
      <c r="E54" s="75"/>
      <c r="F54" s="23" t="s">
        <v>8</v>
      </c>
      <c r="G54" s="11">
        <v>217800</v>
      </c>
      <c r="H54" s="9">
        <v>0</v>
      </c>
      <c r="I54" s="11"/>
      <c r="J54" s="11"/>
      <c r="K54" s="9">
        <f>(495000+49500)*0.4</f>
        <v>217800</v>
      </c>
      <c r="L54" s="9">
        <v>0</v>
      </c>
      <c r="M54" s="9">
        <v>0</v>
      </c>
      <c r="N54" s="9">
        <v>0</v>
      </c>
      <c r="O54" s="14">
        <f>SUM(J54:N54)</f>
        <v>217800</v>
      </c>
      <c r="P54" s="12">
        <f>G54-H54-I54-O54</f>
        <v>0</v>
      </c>
    </row>
    <row r="55" spans="1:16" s="10" customFormat="1" ht="12.75" customHeight="1" hidden="1">
      <c r="A55" s="98"/>
      <c r="B55" s="73"/>
      <c r="C55" s="71"/>
      <c r="D55" s="75"/>
      <c r="E55" s="75"/>
      <c r="F55" s="3" t="s">
        <v>10</v>
      </c>
      <c r="G55" s="9">
        <v>326700</v>
      </c>
      <c r="H55" s="9">
        <v>0</v>
      </c>
      <c r="I55" s="9"/>
      <c r="J55" s="9"/>
      <c r="K55" s="9">
        <f>(495000+49500)*0.6</f>
        <v>326700</v>
      </c>
      <c r="L55" s="9">
        <v>0</v>
      </c>
      <c r="M55" s="9">
        <v>0</v>
      </c>
      <c r="N55" s="9">
        <v>0</v>
      </c>
      <c r="O55" s="14">
        <f>SUM(J55:N55)</f>
        <v>326700</v>
      </c>
      <c r="P55" s="12">
        <f>G55-H55-I55-O55</f>
        <v>0</v>
      </c>
    </row>
    <row r="56" spans="1:16" s="10" customFormat="1" ht="12.75" customHeight="1" hidden="1">
      <c r="A56" s="99"/>
      <c r="B56" s="74"/>
      <c r="C56" s="72"/>
      <c r="D56" s="76"/>
      <c r="E56" s="76"/>
      <c r="F56" s="3" t="s">
        <v>38</v>
      </c>
      <c r="G56" s="9">
        <v>119790</v>
      </c>
      <c r="H56" s="9">
        <v>0</v>
      </c>
      <c r="I56" s="9"/>
      <c r="J56" s="9"/>
      <c r="K56" s="9">
        <f>(495000+49500)*0.22</f>
        <v>119790</v>
      </c>
      <c r="L56" s="9">
        <v>0</v>
      </c>
      <c r="M56" s="9">
        <v>0</v>
      </c>
      <c r="N56" s="9">
        <v>0</v>
      </c>
      <c r="O56" s="14">
        <f>SUM(J56:N56)</f>
        <v>119790</v>
      </c>
      <c r="P56" s="12">
        <f>G56-H56-I56-O56</f>
        <v>0</v>
      </c>
    </row>
    <row r="57" spans="2:16" s="10" customFormat="1" ht="12.75" customHeight="1">
      <c r="B57" s="138" t="s">
        <v>35</v>
      </c>
      <c r="C57" s="139"/>
      <c r="D57" s="139"/>
      <c r="E57" s="140"/>
      <c r="F57" s="51" t="s">
        <v>37</v>
      </c>
      <c r="G57" s="47">
        <f aca="true" t="shared" si="20" ref="G57:O57">SUBTOTAL(9,G58:G213)</f>
        <v>140711110.5</v>
      </c>
      <c r="H57" s="47">
        <f t="shared" si="20"/>
        <v>229534.15</v>
      </c>
      <c r="I57" s="47">
        <f t="shared" si="20"/>
        <v>8311289.42</v>
      </c>
      <c r="J57" s="47">
        <f t="shared" si="20"/>
        <v>43128912.129999995</v>
      </c>
      <c r="K57" s="47">
        <f t="shared" si="20"/>
        <v>62322575.78000001</v>
      </c>
      <c r="L57" s="47">
        <f t="shared" si="20"/>
        <v>26718799.019999996</v>
      </c>
      <c r="M57" s="47">
        <f t="shared" si="20"/>
        <v>0</v>
      </c>
      <c r="N57" s="47">
        <f t="shared" si="20"/>
        <v>0</v>
      </c>
      <c r="O57" s="47">
        <f t="shared" si="20"/>
        <v>132170286.93</v>
      </c>
      <c r="P57" s="48"/>
    </row>
    <row r="58" spans="1:17" s="10" customFormat="1" ht="49.5" customHeight="1">
      <c r="A58" s="97">
        <v>9</v>
      </c>
      <c r="B58" s="97">
        <v>10</v>
      </c>
      <c r="C58" s="100" t="s">
        <v>85</v>
      </c>
      <c r="D58" s="94">
        <v>2007</v>
      </c>
      <c r="E58" s="94">
        <v>2008</v>
      </c>
      <c r="F58" s="23" t="s">
        <v>110</v>
      </c>
      <c r="G58" s="11">
        <f>SUBTOTAL(9,G59:G61)</f>
        <v>550307.4</v>
      </c>
      <c r="H58" s="11">
        <f aca="true" t="shared" si="21" ref="H58:P58">SUBTOTAL(9,H59:H61)</f>
        <v>307</v>
      </c>
      <c r="I58" s="11">
        <f t="shared" si="21"/>
        <v>550000.4</v>
      </c>
      <c r="J58" s="11">
        <f t="shared" si="21"/>
        <v>0</v>
      </c>
      <c r="K58" s="11">
        <f t="shared" si="21"/>
        <v>0</v>
      </c>
      <c r="L58" s="11">
        <f t="shared" si="21"/>
        <v>0</v>
      </c>
      <c r="M58" s="11">
        <f t="shared" si="21"/>
        <v>0</v>
      </c>
      <c r="N58" s="11">
        <f t="shared" si="21"/>
        <v>0</v>
      </c>
      <c r="O58" s="11">
        <f t="shared" si="21"/>
        <v>0</v>
      </c>
      <c r="P58" s="11">
        <f t="shared" si="21"/>
        <v>0</v>
      </c>
      <c r="Q58" s="41"/>
    </row>
    <row r="59" spans="1:16" s="10" customFormat="1" ht="12.75" customHeight="1" hidden="1">
      <c r="A59" s="98"/>
      <c r="B59" s="98"/>
      <c r="C59" s="101"/>
      <c r="D59" s="95"/>
      <c r="E59" s="95"/>
      <c r="F59" s="23" t="s">
        <v>8</v>
      </c>
      <c r="G59" s="13">
        <f>H59+I59</f>
        <v>180580</v>
      </c>
      <c r="H59" s="9">
        <v>252</v>
      </c>
      <c r="I59" s="13">
        <f>450820*0.4</f>
        <v>180328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14">
        <f>SUM(J59:N59)</f>
        <v>0</v>
      </c>
      <c r="P59" s="12">
        <f>G59-H59-I59-O59</f>
        <v>0</v>
      </c>
    </row>
    <row r="60" spans="1:16" s="10" customFormat="1" ht="12.75" customHeight="1" hidden="1">
      <c r="A60" s="98"/>
      <c r="B60" s="98"/>
      <c r="C60" s="101"/>
      <c r="D60" s="95"/>
      <c r="E60" s="95"/>
      <c r="F60" s="3" t="s">
        <v>10</v>
      </c>
      <c r="G60" s="13">
        <f>H60+I60</f>
        <v>270492</v>
      </c>
      <c r="H60" s="9">
        <v>0</v>
      </c>
      <c r="I60" s="13">
        <f>450820*0.6</f>
        <v>270492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4">
        <f>SUM(J60:N60)</f>
        <v>0</v>
      </c>
      <c r="P60" s="12">
        <f>G60-H60-I60-O60</f>
        <v>0</v>
      </c>
    </row>
    <row r="61" spans="1:16" s="10" customFormat="1" ht="12.75" customHeight="1" hidden="1">
      <c r="A61" s="99"/>
      <c r="B61" s="99"/>
      <c r="C61" s="102"/>
      <c r="D61" s="96"/>
      <c r="E61" s="96"/>
      <c r="F61" s="3" t="s">
        <v>38</v>
      </c>
      <c r="G61" s="13">
        <f>H61+I61</f>
        <v>99235.4</v>
      </c>
      <c r="H61" s="9">
        <v>55</v>
      </c>
      <c r="I61" s="13">
        <f>450820*0.22</f>
        <v>99180.4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4">
        <f>SUM(J61:N61)</f>
        <v>0</v>
      </c>
      <c r="P61" s="12">
        <f>G61-H61-I61-O61</f>
        <v>0</v>
      </c>
    </row>
    <row r="62" spans="1:16" s="10" customFormat="1" ht="49.5" customHeight="1">
      <c r="A62" s="97">
        <v>10</v>
      </c>
      <c r="B62" s="97">
        <v>11</v>
      </c>
      <c r="C62" s="103" t="s">
        <v>87</v>
      </c>
      <c r="D62" s="94">
        <v>2007</v>
      </c>
      <c r="E62" s="94">
        <v>2008</v>
      </c>
      <c r="F62" s="23" t="s">
        <v>110</v>
      </c>
      <c r="G62" s="11">
        <f>SUBTOTAL(9,G63:G65)</f>
        <v>2366412.73</v>
      </c>
      <c r="H62" s="11">
        <f>SUBTOTAL(9,H63:H65)</f>
        <v>370.15</v>
      </c>
      <c r="I62" s="11">
        <f aca="true" t="shared" si="22" ref="I62:P62">SUBTOTAL(9,I63:I65)</f>
        <v>2366042.58</v>
      </c>
      <c r="J62" s="11">
        <f t="shared" si="22"/>
        <v>0</v>
      </c>
      <c r="K62" s="11">
        <f t="shared" si="22"/>
        <v>0</v>
      </c>
      <c r="L62" s="11">
        <f t="shared" si="22"/>
        <v>0</v>
      </c>
      <c r="M62" s="11">
        <f t="shared" si="22"/>
        <v>0</v>
      </c>
      <c r="N62" s="11">
        <f t="shared" si="22"/>
        <v>0</v>
      </c>
      <c r="O62" s="11">
        <f t="shared" si="22"/>
        <v>0</v>
      </c>
      <c r="P62" s="11">
        <f t="shared" si="22"/>
        <v>0</v>
      </c>
    </row>
    <row r="63" spans="1:16" s="10" customFormat="1" ht="13.5" customHeight="1" hidden="1">
      <c r="A63" s="98"/>
      <c r="B63" s="98"/>
      <c r="C63" s="104"/>
      <c r="D63" s="95"/>
      <c r="E63" s="95"/>
      <c r="F63" s="23" t="s">
        <v>8</v>
      </c>
      <c r="G63" s="13">
        <f>H63+I63</f>
        <v>776055.2000000001</v>
      </c>
      <c r="H63" s="9">
        <v>303.4</v>
      </c>
      <c r="I63" s="13">
        <f>1939379.5*0.4</f>
        <v>775751.8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14">
        <f>SUM(J63:N63)</f>
        <v>0</v>
      </c>
      <c r="P63" s="12">
        <f>G63-H63-I63-O63</f>
        <v>0</v>
      </c>
    </row>
    <row r="64" spans="1:16" s="10" customFormat="1" ht="13.5" customHeight="1" hidden="1">
      <c r="A64" s="98"/>
      <c r="B64" s="98"/>
      <c r="C64" s="104"/>
      <c r="D64" s="95"/>
      <c r="E64" s="95"/>
      <c r="F64" s="3" t="s">
        <v>10</v>
      </c>
      <c r="G64" s="13">
        <f>H64+I64</f>
        <v>1163627.4</v>
      </c>
      <c r="H64" s="9">
        <v>0</v>
      </c>
      <c r="I64" s="13">
        <f>1939379*0.6</f>
        <v>1163627.4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14">
        <f>SUM(J64:N64)</f>
        <v>0</v>
      </c>
      <c r="P64" s="12">
        <f>G64-H64-I64-O64</f>
        <v>0</v>
      </c>
    </row>
    <row r="65" spans="1:16" s="10" customFormat="1" ht="13.5" customHeight="1" hidden="1">
      <c r="A65" s="99"/>
      <c r="B65" s="99"/>
      <c r="C65" s="105"/>
      <c r="D65" s="96"/>
      <c r="E65" s="96"/>
      <c r="F65" s="3" t="s">
        <v>38</v>
      </c>
      <c r="G65" s="13">
        <f>H65+I65</f>
        <v>426730.13</v>
      </c>
      <c r="H65" s="9">
        <v>66.75</v>
      </c>
      <c r="I65" s="13">
        <f>1939379*0.22</f>
        <v>426663.38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14">
        <f>SUM(J65:N65)</f>
        <v>0</v>
      </c>
      <c r="P65" s="12">
        <f>G65-H65-I65-O65</f>
        <v>0</v>
      </c>
    </row>
    <row r="66" spans="1:16" s="10" customFormat="1" ht="69.75" customHeight="1">
      <c r="A66" s="97">
        <v>12</v>
      </c>
      <c r="B66" s="97">
        <v>12</v>
      </c>
      <c r="C66" s="100" t="s">
        <v>65</v>
      </c>
      <c r="D66" s="94">
        <v>2008</v>
      </c>
      <c r="E66" s="94">
        <v>2008</v>
      </c>
      <c r="F66" s="23" t="s">
        <v>110</v>
      </c>
      <c r="G66" s="11">
        <f>SUBTOTAL(9,G67:G69)</f>
        <v>758840</v>
      </c>
      <c r="H66" s="11">
        <f>SUBTOTAL(9,H67:H69)</f>
        <v>0</v>
      </c>
      <c r="I66" s="11">
        <f aca="true" t="shared" si="23" ref="I66:P66">SUBTOTAL(9,I67:I69)</f>
        <v>758840</v>
      </c>
      <c r="J66" s="11">
        <f t="shared" si="23"/>
        <v>0</v>
      </c>
      <c r="K66" s="11">
        <f t="shared" si="23"/>
        <v>0</v>
      </c>
      <c r="L66" s="11">
        <f t="shared" si="23"/>
        <v>0</v>
      </c>
      <c r="M66" s="11">
        <f t="shared" si="23"/>
        <v>0</v>
      </c>
      <c r="N66" s="11">
        <f t="shared" si="23"/>
        <v>0</v>
      </c>
      <c r="O66" s="11">
        <f t="shared" si="23"/>
        <v>0</v>
      </c>
      <c r="P66" s="11">
        <f t="shared" si="23"/>
        <v>0</v>
      </c>
    </row>
    <row r="67" spans="1:16" s="10" customFormat="1" ht="18" customHeight="1" hidden="1">
      <c r="A67" s="98"/>
      <c r="B67" s="98"/>
      <c r="C67" s="101"/>
      <c r="D67" s="95"/>
      <c r="E67" s="95"/>
      <c r="F67" s="23" t="s">
        <v>8</v>
      </c>
      <c r="G67" s="11">
        <v>248800</v>
      </c>
      <c r="H67" s="9">
        <v>0</v>
      </c>
      <c r="I67" s="11">
        <f>622000*0.4</f>
        <v>248800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14">
        <f>SUM(J67:N67)</f>
        <v>0</v>
      </c>
      <c r="P67" s="12">
        <f>G67-H67-I67-O67</f>
        <v>0</v>
      </c>
    </row>
    <row r="68" spans="1:16" s="10" customFormat="1" ht="18" customHeight="1" hidden="1">
      <c r="A68" s="98"/>
      <c r="B68" s="98"/>
      <c r="C68" s="101"/>
      <c r="D68" s="95"/>
      <c r="E68" s="95"/>
      <c r="F68" s="3" t="s">
        <v>10</v>
      </c>
      <c r="G68" s="9">
        <v>373200</v>
      </c>
      <c r="H68" s="9">
        <v>0</v>
      </c>
      <c r="I68" s="11">
        <f>622000*0.6</f>
        <v>373200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14">
        <f>SUM(J68:N68)</f>
        <v>0</v>
      </c>
      <c r="P68" s="12">
        <f>G68-H68-I68-O68</f>
        <v>0</v>
      </c>
    </row>
    <row r="69" spans="1:16" s="10" customFormat="1" ht="18" customHeight="1" hidden="1">
      <c r="A69" s="99"/>
      <c r="B69" s="99"/>
      <c r="C69" s="102"/>
      <c r="D69" s="96"/>
      <c r="E69" s="96"/>
      <c r="F69" s="3" t="s">
        <v>38</v>
      </c>
      <c r="G69" s="9">
        <v>136840</v>
      </c>
      <c r="H69" s="9">
        <v>0</v>
      </c>
      <c r="I69" s="11">
        <f>622000*0.22</f>
        <v>136840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14">
        <f>SUM(J69:N69)</f>
        <v>0</v>
      </c>
      <c r="P69" s="12">
        <f>G69-H69-I69-O69</f>
        <v>0</v>
      </c>
    </row>
    <row r="70" spans="1:16" s="10" customFormat="1" ht="60" customHeight="1">
      <c r="A70" s="97">
        <v>13</v>
      </c>
      <c r="B70" s="97">
        <v>13</v>
      </c>
      <c r="C70" s="100" t="s">
        <v>66</v>
      </c>
      <c r="D70" s="94">
        <v>2008</v>
      </c>
      <c r="E70" s="94">
        <v>2008</v>
      </c>
      <c r="F70" s="23" t="s">
        <v>110</v>
      </c>
      <c r="G70" s="11">
        <f>SUBTOTAL(9,G71:G73)</f>
        <v>475751.2</v>
      </c>
      <c r="H70" s="11">
        <f>SUBTOTAL(9,H71:H73)</f>
        <v>0</v>
      </c>
      <c r="I70" s="11">
        <f aca="true" t="shared" si="24" ref="I70:P70">SUBTOTAL(9,I71:I73)</f>
        <v>475751.2</v>
      </c>
      <c r="J70" s="11">
        <f t="shared" si="24"/>
        <v>0</v>
      </c>
      <c r="K70" s="11">
        <f t="shared" si="24"/>
        <v>0</v>
      </c>
      <c r="L70" s="11">
        <f t="shared" si="24"/>
        <v>0</v>
      </c>
      <c r="M70" s="11">
        <f t="shared" si="24"/>
        <v>0</v>
      </c>
      <c r="N70" s="11">
        <f t="shared" si="24"/>
        <v>0</v>
      </c>
      <c r="O70" s="11">
        <f t="shared" si="24"/>
        <v>0</v>
      </c>
      <c r="P70" s="11">
        <f t="shared" si="24"/>
        <v>0</v>
      </c>
    </row>
    <row r="71" spans="1:16" s="10" customFormat="1" ht="15" customHeight="1" hidden="1">
      <c r="A71" s="98"/>
      <c r="B71" s="98"/>
      <c r="C71" s="101"/>
      <c r="D71" s="95"/>
      <c r="E71" s="95"/>
      <c r="F71" s="23" t="s">
        <v>8</v>
      </c>
      <c r="G71" s="11">
        <v>155984</v>
      </c>
      <c r="H71" s="9">
        <v>0</v>
      </c>
      <c r="I71" s="11">
        <f>389960*0.4</f>
        <v>155984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14">
        <f>SUM(J71:N71)</f>
        <v>0</v>
      </c>
      <c r="P71" s="12">
        <f>G71-H71-I71-O71</f>
        <v>0</v>
      </c>
    </row>
    <row r="72" spans="1:16" s="10" customFormat="1" ht="15" customHeight="1" hidden="1">
      <c r="A72" s="98"/>
      <c r="B72" s="98"/>
      <c r="C72" s="101"/>
      <c r="D72" s="95"/>
      <c r="E72" s="95"/>
      <c r="F72" s="3" t="s">
        <v>10</v>
      </c>
      <c r="G72" s="9">
        <v>233976</v>
      </c>
      <c r="H72" s="9">
        <v>0</v>
      </c>
      <c r="I72" s="11">
        <f>389960*0.6</f>
        <v>233976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14">
        <f>SUM(J72:N72)</f>
        <v>0</v>
      </c>
      <c r="P72" s="12">
        <f>G72-H72-I72-O72</f>
        <v>0</v>
      </c>
    </row>
    <row r="73" spans="1:16" s="10" customFormat="1" ht="15" customHeight="1" hidden="1">
      <c r="A73" s="99"/>
      <c r="B73" s="99"/>
      <c r="C73" s="102"/>
      <c r="D73" s="96"/>
      <c r="E73" s="96"/>
      <c r="F73" s="3" t="s">
        <v>38</v>
      </c>
      <c r="G73" s="9">
        <f>I73</f>
        <v>85791.2</v>
      </c>
      <c r="H73" s="9">
        <v>0</v>
      </c>
      <c r="I73" s="12">
        <f>389960*0.22</f>
        <v>85791.2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14">
        <f>SUM(J73:N73)</f>
        <v>0</v>
      </c>
      <c r="P73" s="12">
        <f>G73-H73-I73-O73</f>
        <v>0</v>
      </c>
    </row>
    <row r="74" spans="1:16" s="10" customFormat="1" ht="69.75" customHeight="1">
      <c r="A74" s="97">
        <v>13</v>
      </c>
      <c r="B74" s="97">
        <v>14</v>
      </c>
      <c r="C74" s="100" t="s">
        <v>67</v>
      </c>
      <c r="D74" s="94">
        <v>2008</v>
      </c>
      <c r="E74" s="94">
        <v>2008</v>
      </c>
      <c r="F74" s="23" t="s">
        <v>110</v>
      </c>
      <c r="G74" s="11">
        <f>SUBTOTAL(9,G75:G77)</f>
        <v>455548</v>
      </c>
      <c r="H74" s="11">
        <f>SUBTOTAL(9,H75:H77)</f>
        <v>0</v>
      </c>
      <c r="I74" s="11">
        <f aca="true" t="shared" si="25" ref="I74:P74">SUBTOTAL(9,I75:I77)</f>
        <v>455548</v>
      </c>
      <c r="J74" s="11">
        <f t="shared" si="25"/>
        <v>0</v>
      </c>
      <c r="K74" s="11">
        <f t="shared" si="25"/>
        <v>0</v>
      </c>
      <c r="L74" s="11">
        <f t="shared" si="25"/>
        <v>0</v>
      </c>
      <c r="M74" s="11">
        <f t="shared" si="25"/>
        <v>0</v>
      </c>
      <c r="N74" s="11">
        <f t="shared" si="25"/>
        <v>0</v>
      </c>
      <c r="O74" s="11">
        <f t="shared" si="25"/>
        <v>0</v>
      </c>
      <c r="P74" s="11">
        <f t="shared" si="25"/>
        <v>0</v>
      </c>
    </row>
    <row r="75" spans="1:16" s="10" customFormat="1" ht="18" customHeight="1" hidden="1">
      <c r="A75" s="98"/>
      <c r="B75" s="98"/>
      <c r="C75" s="101"/>
      <c r="D75" s="95"/>
      <c r="E75" s="95"/>
      <c r="F75" s="23" t="s">
        <v>8</v>
      </c>
      <c r="G75" s="11">
        <v>149360</v>
      </c>
      <c r="H75" s="9">
        <v>0</v>
      </c>
      <c r="I75" s="11">
        <f>373400*0.4</f>
        <v>149360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14">
        <f>SUM(J75:N75)</f>
        <v>0</v>
      </c>
      <c r="P75" s="12">
        <f>G75-H75-I75-O75</f>
        <v>0</v>
      </c>
    </row>
    <row r="76" spans="1:16" s="10" customFormat="1" ht="18" customHeight="1" hidden="1">
      <c r="A76" s="98"/>
      <c r="B76" s="98"/>
      <c r="C76" s="101"/>
      <c r="D76" s="95"/>
      <c r="E76" s="95"/>
      <c r="F76" s="3" t="s">
        <v>10</v>
      </c>
      <c r="G76" s="9">
        <v>224040</v>
      </c>
      <c r="H76" s="9">
        <v>0</v>
      </c>
      <c r="I76" s="11">
        <f>373400*0.6</f>
        <v>224040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14">
        <f>SUM(J76:N76)</f>
        <v>0</v>
      </c>
      <c r="P76" s="12">
        <f>G76-H76-I76-O76</f>
        <v>0</v>
      </c>
    </row>
    <row r="77" spans="1:16" s="10" customFormat="1" ht="18" customHeight="1" hidden="1">
      <c r="A77" s="99"/>
      <c r="B77" s="99"/>
      <c r="C77" s="102"/>
      <c r="D77" s="96"/>
      <c r="E77" s="96"/>
      <c r="F77" s="3" t="s">
        <v>38</v>
      </c>
      <c r="G77" s="9">
        <v>82148</v>
      </c>
      <c r="H77" s="9">
        <v>0</v>
      </c>
      <c r="I77" s="11">
        <f>373400*0.22</f>
        <v>82148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14">
        <f>SUM(J77:N77)</f>
        <v>0</v>
      </c>
      <c r="P77" s="12">
        <f>G77-H77-I77-O77</f>
        <v>0</v>
      </c>
    </row>
    <row r="78" spans="1:16" s="10" customFormat="1" ht="30" customHeight="1">
      <c r="A78" s="97">
        <v>17</v>
      </c>
      <c r="B78" s="97">
        <v>15</v>
      </c>
      <c r="C78" s="100" t="s">
        <v>72</v>
      </c>
      <c r="D78" s="94">
        <v>2008</v>
      </c>
      <c r="E78" s="94">
        <v>2008</v>
      </c>
      <c r="F78" s="23" t="s">
        <v>110</v>
      </c>
      <c r="G78" s="11">
        <f>SUBTOTAL(9,G79:G81)</f>
        <v>556930</v>
      </c>
      <c r="H78" s="11">
        <f>SUBTOTAL(9,H79:H81)</f>
        <v>0</v>
      </c>
      <c r="I78" s="11">
        <f aca="true" t="shared" si="26" ref="I78:P78">SUBTOTAL(9,I79:I81)</f>
        <v>556930</v>
      </c>
      <c r="J78" s="11">
        <f t="shared" si="26"/>
        <v>0</v>
      </c>
      <c r="K78" s="11">
        <f t="shared" si="26"/>
        <v>0</v>
      </c>
      <c r="L78" s="11">
        <f t="shared" si="26"/>
        <v>0</v>
      </c>
      <c r="M78" s="11">
        <f t="shared" si="26"/>
        <v>0</v>
      </c>
      <c r="N78" s="11">
        <f t="shared" si="26"/>
        <v>0</v>
      </c>
      <c r="O78" s="11">
        <f t="shared" si="26"/>
        <v>0</v>
      </c>
      <c r="P78" s="11">
        <f t="shared" si="26"/>
        <v>0</v>
      </c>
    </row>
    <row r="79" spans="1:16" s="10" customFormat="1" ht="12.75" customHeight="1" hidden="1">
      <c r="A79" s="98"/>
      <c r="B79" s="98"/>
      <c r="C79" s="101"/>
      <c r="D79" s="95"/>
      <c r="E79" s="95"/>
      <c r="F79" s="23" t="s">
        <v>8</v>
      </c>
      <c r="G79" s="13">
        <v>182600</v>
      </c>
      <c r="H79" s="9">
        <v>0</v>
      </c>
      <c r="I79" s="13">
        <f>456500*0.4</f>
        <v>182600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14">
        <f>SUM(J79:N79)</f>
        <v>0</v>
      </c>
      <c r="P79" s="12">
        <f>G79-H79-I79-O79</f>
        <v>0</v>
      </c>
    </row>
    <row r="80" spans="1:16" s="10" customFormat="1" ht="12.75" customHeight="1" hidden="1">
      <c r="A80" s="98"/>
      <c r="B80" s="98"/>
      <c r="C80" s="101"/>
      <c r="D80" s="95"/>
      <c r="E80" s="95"/>
      <c r="F80" s="3" t="s">
        <v>10</v>
      </c>
      <c r="G80" s="9">
        <v>273900</v>
      </c>
      <c r="H80" s="9">
        <v>0</v>
      </c>
      <c r="I80" s="13">
        <f>456500*0.6</f>
        <v>273900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14">
        <f>SUM(J80:N80)</f>
        <v>0</v>
      </c>
      <c r="P80" s="12">
        <f>G80-H80-I80-O80</f>
        <v>0</v>
      </c>
    </row>
    <row r="81" spans="1:16" s="10" customFormat="1" ht="14.25" customHeight="1" hidden="1">
      <c r="A81" s="99"/>
      <c r="B81" s="99"/>
      <c r="C81" s="102"/>
      <c r="D81" s="96"/>
      <c r="E81" s="96"/>
      <c r="F81" s="3" t="s">
        <v>38</v>
      </c>
      <c r="G81" s="9">
        <v>100430</v>
      </c>
      <c r="H81" s="9">
        <v>0</v>
      </c>
      <c r="I81" s="13">
        <f>456500*0.22</f>
        <v>100430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14">
        <f>SUM(J81:N81)</f>
        <v>0</v>
      </c>
      <c r="P81" s="12">
        <f>G81-H81-I81-O81</f>
        <v>0</v>
      </c>
    </row>
    <row r="82" spans="1:16" s="10" customFormat="1" ht="39.75" customHeight="1">
      <c r="A82" s="97">
        <v>17</v>
      </c>
      <c r="B82" s="97">
        <v>16</v>
      </c>
      <c r="C82" s="100" t="s">
        <v>88</v>
      </c>
      <c r="D82" s="94">
        <v>2008</v>
      </c>
      <c r="E82" s="94">
        <v>2008</v>
      </c>
      <c r="F82" s="23" t="s">
        <v>110</v>
      </c>
      <c r="G82" s="11">
        <f>SUBTOTAL(9,G83:G85)</f>
        <v>219999.94</v>
      </c>
      <c r="H82" s="11">
        <f>SUBTOTAL(9,H83:H85)</f>
        <v>0</v>
      </c>
      <c r="I82" s="11">
        <f aca="true" t="shared" si="27" ref="I82:P82">SUBTOTAL(9,I83:I85)</f>
        <v>219999.94</v>
      </c>
      <c r="J82" s="11">
        <f t="shared" si="27"/>
        <v>0</v>
      </c>
      <c r="K82" s="11">
        <f t="shared" si="27"/>
        <v>0</v>
      </c>
      <c r="L82" s="11">
        <f t="shared" si="27"/>
        <v>0</v>
      </c>
      <c r="M82" s="11">
        <f t="shared" si="27"/>
        <v>0</v>
      </c>
      <c r="N82" s="11">
        <f t="shared" si="27"/>
        <v>0</v>
      </c>
      <c r="O82" s="11">
        <f t="shared" si="27"/>
        <v>0</v>
      </c>
      <c r="P82" s="11">
        <f t="shared" si="27"/>
        <v>0</v>
      </c>
    </row>
    <row r="83" spans="1:16" s="10" customFormat="1" ht="12.75" customHeight="1" hidden="1">
      <c r="A83" s="98"/>
      <c r="B83" s="98"/>
      <c r="C83" s="101"/>
      <c r="D83" s="95"/>
      <c r="E83" s="95"/>
      <c r="F83" s="23" t="s">
        <v>8</v>
      </c>
      <c r="G83" s="13">
        <f>I83</f>
        <v>72131.2</v>
      </c>
      <c r="H83" s="9">
        <v>0</v>
      </c>
      <c r="I83" s="13">
        <f>(163934+16394)*0.4</f>
        <v>72131.2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14">
        <f>SUM(J83:N83)</f>
        <v>0</v>
      </c>
      <c r="P83" s="12">
        <f>G83-H83-I83-O83</f>
        <v>0</v>
      </c>
    </row>
    <row r="84" spans="1:16" s="10" customFormat="1" ht="12.75" customHeight="1" hidden="1">
      <c r="A84" s="98"/>
      <c r="B84" s="98"/>
      <c r="C84" s="101"/>
      <c r="D84" s="95"/>
      <c r="E84" s="95"/>
      <c r="F84" s="3" t="s">
        <v>10</v>
      </c>
      <c r="G84" s="13">
        <f>I84</f>
        <v>108196.8</v>
      </c>
      <c r="H84" s="9">
        <v>0</v>
      </c>
      <c r="I84" s="13">
        <f>(163934+16394)*0.6</f>
        <v>108196.8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14">
        <f>SUM(J84:N84)</f>
        <v>0</v>
      </c>
      <c r="P84" s="12">
        <f>G84-H84-I84-O84</f>
        <v>0</v>
      </c>
    </row>
    <row r="85" spans="1:16" s="10" customFormat="1" ht="14.25" customHeight="1" hidden="1">
      <c r="A85" s="99"/>
      <c r="B85" s="99"/>
      <c r="C85" s="102"/>
      <c r="D85" s="96"/>
      <c r="E85" s="96"/>
      <c r="F85" s="3" t="s">
        <v>38</v>
      </c>
      <c r="G85" s="13">
        <f>(163934+16393)*0.22</f>
        <v>39671.94</v>
      </c>
      <c r="H85" s="9">
        <v>0</v>
      </c>
      <c r="I85" s="13">
        <f>(163934+16393)*0.22</f>
        <v>39671.94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14">
        <f>SUM(J85:N85)</f>
        <v>0</v>
      </c>
      <c r="P85" s="12">
        <f>G85-H85-I85-O85</f>
        <v>0</v>
      </c>
    </row>
    <row r="86" spans="1:16" s="10" customFormat="1" ht="39.75" customHeight="1">
      <c r="A86" s="97">
        <v>53</v>
      </c>
      <c r="B86" s="77">
        <v>17</v>
      </c>
      <c r="C86" s="78" t="s">
        <v>45</v>
      </c>
      <c r="D86" s="79">
        <v>2008</v>
      </c>
      <c r="E86" s="79">
        <v>2009</v>
      </c>
      <c r="F86" s="23" t="s">
        <v>110</v>
      </c>
      <c r="G86" s="11">
        <f>SUBTOTAL(9,G87:G89)</f>
        <v>1518000.25</v>
      </c>
      <c r="H86" s="11">
        <f>SUBTOTAL(9,H87:H89)</f>
        <v>0</v>
      </c>
      <c r="I86" s="11">
        <f aca="true" t="shared" si="28" ref="I86:P86">SUBTOTAL(9,I87:I89)</f>
        <v>138000.3</v>
      </c>
      <c r="J86" s="11">
        <f t="shared" si="28"/>
        <v>1379999.95</v>
      </c>
      <c r="K86" s="11">
        <f t="shared" si="28"/>
        <v>0</v>
      </c>
      <c r="L86" s="11">
        <f t="shared" si="28"/>
        <v>0</v>
      </c>
      <c r="M86" s="11">
        <f t="shared" si="28"/>
        <v>0</v>
      </c>
      <c r="N86" s="11">
        <f t="shared" si="28"/>
        <v>0</v>
      </c>
      <c r="O86" s="11">
        <f t="shared" si="28"/>
        <v>1379999.95</v>
      </c>
      <c r="P86" s="11">
        <f t="shared" si="28"/>
        <v>0</v>
      </c>
    </row>
    <row r="87" spans="1:16" s="10" customFormat="1" ht="12.75" customHeight="1" hidden="1">
      <c r="A87" s="98"/>
      <c r="B87" s="73"/>
      <c r="C87" s="71"/>
      <c r="D87" s="75"/>
      <c r="E87" s="75"/>
      <c r="F87" s="23" t="s">
        <v>8</v>
      </c>
      <c r="G87" s="13">
        <f>I87+J87</f>
        <v>497705</v>
      </c>
      <c r="H87" s="13">
        <v>0</v>
      </c>
      <c r="I87" s="9">
        <f>113115*0.4</f>
        <v>45246</v>
      </c>
      <c r="J87" s="9">
        <f>1131147.5*0.4</f>
        <v>452459</v>
      </c>
      <c r="K87" s="9">
        <v>0</v>
      </c>
      <c r="L87" s="9">
        <v>0</v>
      </c>
      <c r="M87" s="9">
        <v>0</v>
      </c>
      <c r="N87" s="9">
        <v>0</v>
      </c>
      <c r="O87" s="14">
        <f>SUM(J87:N87)</f>
        <v>452459</v>
      </c>
      <c r="P87" s="12">
        <f>G87-H87-I87-O87</f>
        <v>0</v>
      </c>
    </row>
    <row r="88" spans="1:16" s="10" customFormat="1" ht="12.75" customHeight="1" hidden="1">
      <c r="A88" s="98"/>
      <c r="B88" s="73"/>
      <c r="C88" s="71"/>
      <c r="D88" s="75"/>
      <c r="E88" s="75"/>
      <c r="F88" s="3" t="s">
        <v>10</v>
      </c>
      <c r="G88" s="13">
        <f>I88+J88</f>
        <v>746557.5</v>
      </c>
      <c r="H88" s="9">
        <v>0</v>
      </c>
      <c r="I88" s="9">
        <f>113115*0.6</f>
        <v>67869</v>
      </c>
      <c r="J88" s="9">
        <f>1131147.5*0.6</f>
        <v>678688.5</v>
      </c>
      <c r="K88" s="9">
        <v>0</v>
      </c>
      <c r="L88" s="9">
        <v>0</v>
      </c>
      <c r="M88" s="9">
        <v>0</v>
      </c>
      <c r="N88" s="9">
        <v>0</v>
      </c>
      <c r="O88" s="14">
        <f>SUM(J88:N88)</f>
        <v>678688.5</v>
      </c>
      <c r="P88" s="12">
        <f>G88-H88-I88-O88</f>
        <v>0</v>
      </c>
    </row>
    <row r="89" spans="1:16" s="10" customFormat="1" ht="12.75" customHeight="1" hidden="1">
      <c r="A89" s="99"/>
      <c r="B89" s="74"/>
      <c r="C89" s="72"/>
      <c r="D89" s="76"/>
      <c r="E89" s="76"/>
      <c r="F89" s="3" t="s">
        <v>38</v>
      </c>
      <c r="G89" s="13">
        <f>I89+J89</f>
        <v>273737.75</v>
      </c>
      <c r="H89" s="9">
        <v>0</v>
      </c>
      <c r="I89" s="9">
        <f>113115*0.22</f>
        <v>24885.3</v>
      </c>
      <c r="J89" s="9">
        <f>1131147.5*0.22</f>
        <v>248852.45</v>
      </c>
      <c r="K89" s="9">
        <v>0</v>
      </c>
      <c r="L89" s="9">
        <v>0</v>
      </c>
      <c r="M89" s="9">
        <v>0</v>
      </c>
      <c r="N89" s="9">
        <v>0</v>
      </c>
      <c r="O89" s="14">
        <f>SUM(J89:N89)</f>
        <v>248852.45</v>
      </c>
      <c r="P89" s="12">
        <f>G89-H89-I89-O89</f>
        <v>0</v>
      </c>
    </row>
    <row r="90" spans="1:16" s="10" customFormat="1" ht="39.75" customHeight="1">
      <c r="A90" s="97">
        <v>11</v>
      </c>
      <c r="B90" s="97">
        <v>18</v>
      </c>
      <c r="C90" s="100" t="s">
        <v>13</v>
      </c>
      <c r="D90" s="94">
        <v>2007</v>
      </c>
      <c r="E90" s="94">
        <v>2009</v>
      </c>
      <c r="F90" s="23" t="s">
        <v>110</v>
      </c>
      <c r="G90" s="11">
        <f>SUBTOTAL(9,G91:G93)</f>
        <v>3331117.16</v>
      </c>
      <c r="H90" s="11">
        <f>SUBTOTAL(9,H91:H93)</f>
        <v>117</v>
      </c>
      <c r="I90" s="11">
        <f aca="true" t="shared" si="29" ref="I90:P90">SUBTOTAL(9,I91:I93)</f>
        <v>0</v>
      </c>
      <c r="J90" s="11">
        <f t="shared" si="29"/>
        <v>3331000.16</v>
      </c>
      <c r="K90" s="11">
        <f t="shared" si="29"/>
        <v>0</v>
      </c>
      <c r="L90" s="11">
        <f t="shared" si="29"/>
        <v>0</v>
      </c>
      <c r="M90" s="11">
        <f t="shared" si="29"/>
        <v>0</v>
      </c>
      <c r="N90" s="11">
        <f t="shared" si="29"/>
        <v>0</v>
      </c>
      <c r="O90" s="11">
        <f t="shared" si="29"/>
        <v>3331000.16</v>
      </c>
      <c r="P90" s="11">
        <f t="shared" si="29"/>
        <v>0</v>
      </c>
    </row>
    <row r="91" spans="1:16" s="10" customFormat="1" ht="12.75" customHeight="1" hidden="1">
      <c r="A91" s="98"/>
      <c r="B91" s="98"/>
      <c r="C91" s="101"/>
      <c r="D91" s="95"/>
      <c r="E91" s="95"/>
      <c r="F91" s="23" t="s">
        <v>8</v>
      </c>
      <c r="G91" s="13">
        <f>H91+J91</f>
        <v>1092227.2</v>
      </c>
      <c r="H91" s="9">
        <v>96</v>
      </c>
      <c r="I91" s="9">
        <v>0</v>
      </c>
      <c r="J91" s="9">
        <f>(2482116+248212)*0.4</f>
        <v>1092131.2</v>
      </c>
      <c r="K91" s="9">
        <v>0</v>
      </c>
      <c r="L91" s="9">
        <v>0</v>
      </c>
      <c r="M91" s="9">
        <v>0</v>
      </c>
      <c r="N91" s="9">
        <v>0</v>
      </c>
      <c r="O91" s="14">
        <f>SUM(J91:N91)</f>
        <v>1092131.2</v>
      </c>
      <c r="P91" s="12">
        <f>G91-H91-I91-O91</f>
        <v>0</v>
      </c>
    </row>
    <row r="92" spans="1:16" s="10" customFormat="1" ht="12.75" customHeight="1" hidden="1">
      <c r="A92" s="98"/>
      <c r="B92" s="98"/>
      <c r="C92" s="101"/>
      <c r="D92" s="95"/>
      <c r="E92" s="95"/>
      <c r="F92" s="3" t="s">
        <v>10</v>
      </c>
      <c r="G92" s="13">
        <f>H92+J92</f>
        <v>1638196.8</v>
      </c>
      <c r="H92" s="9">
        <v>0</v>
      </c>
      <c r="I92" s="9">
        <v>0</v>
      </c>
      <c r="J92" s="9">
        <f>(2482116+248212)*0.6</f>
        <v>1638196.8</v>
      </c>
      <c r="K92" s="9">
        <v>0</v>
      </c>
      <c r="L92" s="9">
        <v>0</v>
      </c>
      <c r="M92" s="9">
        <v>0</v>
      </c>
      <c r="N92" s="9">
        <v>0</v>
      </c>
      <c r="O92" s="14">
        <f>SUM(J92:N92)</f>
        <v>1638196.8</v>
      </c>
      <c r="P92" s="12">
        <f>G92-H92-I92-O92</f>
        <v>0</v>
      </c>
    </row>
    <row r="93" spans="1:16" s="10" customFormat="1" ht="12.75" customHeight="1" hidden="1">
      <c r="A93" s="99"/>
      <c r="B93" s="99"/>
      <c r="C93" s="102"/>
      <c r="D93" s="96"/>
      <c r="E93" s="96"/>
      <c r="F93" s="3" t="s">
        <v>38</v>
      </c>
      <c r="G93" s="13">
        <f>H93+J93</f>
        <v>600693.16</v>
      </c>
      <c r="H93" s="9">
        <v>21</v>
      </c>
      <c r="I93" s="9">
        <v>0</v>
      </c>
      <c r="J93" s="9">
        <f>(2482116+248212)*0.22</f>
        <v>600672.16</v>
      </c>
      <c r="K93" s="9">
        <v>0</v>
      </c>
      <c r="L93" s="9">
        <v>0</v>
      </c>
      <c r="M93" s="9">
        <v>0</v>
      </c>
      <c r="N93" s="9">
        <v>0</v>
      </c>
      <c r="O93" s="14">
        <f>SUM(J93:N93)</f>
        <v>600672.16</v>
      </c>
      <c r="P93" s="12">
        <f>G93-H93-I93-O93</f>
        <v>0</v>
      </c>
    </row>
    <row r="94" spans="1:16" s="10" customFormat="1" ht="60" customHeight="1">
      <c r="A94" s="97">
        <v>13</v>
      </c>
      <c r="B94" s="97">
        <v>19</v>
      </c>
      <c r="C94" s="100" t="s">
        <v>68</v>
      </c>
      <c r="D94" s="94">
        <v>2009</v>
      </c>
      <c r="E94" s="94">
        <v>2009</v>
      </c>
      <c r="F94" s="23" t="s">
        <v>110</v>
      </c>
      <c r="G94" s="11">
        <f>SUBTOTAL(9,G95:G97)</f>
        <v>477386</v>
      </c>
      <c r="H94" s="11">
        <f>SUBTOTAL(9,H95:H97)</f>
        <v>0</v>
      </c>
      <c r="I94" s="11">
        <f aca="true" t="shared" si="30" ref="I94:P94">SUBTOTAL(9,I95:I97)</f>
        <v>0</v>
      </c>
      <c r="J94" s="11">
        <f t="shared" si="30"/>
        <v>477386</v>
      </c>
      <c r="K94" s="11">
        <f t="shared" si="30"/>
        <v>0</v>
      </c>
      <c r="L94" s="11">
        <f t="shared" si="30"/>
        <v>0</v>
      </c>
      <c r="M94" s="11">
        <f t="shared" si="30"/>
        <v>0</v>
      </c>
      <c r="N94" s="11">
        <f t="shared" si="30"/>
        <v>0</v>
      </c>
      <c r="O94" s="11">
        <f t="shared" si="30"/>
        <v>477386</v>
      </c>
      <c r="P94" s="11">
        <f t="shared" si="30"/>
        <v>0</v>
      </c>
    </row>
    <row r="95" spans="1:16" s="10" customFormat="1" ht="15" customHeight="1" hidden="1">
      <c r="A95" s="98"/>
      <c r="B95" s="98"/>
      <c r="C95" s="101"/>
      <c r="D95" s="95"/>
      <c r="E95" s="95"/>
      <c r="F95" s="23" t="s">
        <v>8</v>
      </c>
      <c r="G95" s="11">
        <v>156520</v>
      </c>
      <c r="H95" s="9">
        <v>0</v>
      </c>
      <c r="I95" s="11"/>
      <c r="J95" s="9">
        <f>391300*0.4</f>
        <v>156520</v>
      </c>
      <c r="K95" s="9">
        <v>0</v>
      </c>
      <c r="L95" s="9">
        <v>0</v>
      </c>
      <c r="M95" s="9">
        <v>0</v>
      </c>
      <c r="N95" s="9">
        <v>0</v>
      </c>
      <c r="O95" s="14">
        <f>SUM(J95:N95)</f>
        <v>156520</v>
      </c>
      <c r="P95" s="12">
        <f>G95-H95-I95-O95</f>
        <v>0</v>
      </c>
    </row>
    <row r="96" spans="1:16" s="10" customFormat="1" ht="15" customHeight="1" hidden="1">
      <c r="A96" s="98"/>
      <c r="B96" s="98"/>
      <c r="C96" s="101"/>
      <c r="D96" s="95"/>
      <c r="E96" s="95"/>
      <c r="F96" s="3" t="s">
        <v>10</v>
      </c>
      <c r="G96" s="9">
        <v>234780</v>
      </c>
      <c r="H96" s="9">
        <v>0</v>
      </c>
      <c r="I96" s="9"/>
      <c r="J96" s="9">
        <f>391300*0.6</f>
        <v>234780</v>
      </c>
      <c r="K96" s="9">
        <v>0</v>
      </c>
      <c r="L96" s="9">
        <v>0</v>
      </c>
      <c r="M96" s="9">
        <v>0</v>
      </c>
      <c r="N96" s="9">
        <v>0</v>
      </c>
      <c r="O96" s="14">
        <f>SUM(J96:N96)</f>
        <v>234780</v>
      </c>
      <c r="P96" s="12">
        <f>G96-H96-I96-O96</f>
        <v>0</v>
      </c>
    </row>
    <row r="97" spans="1:16" s="10" customFormat="1" ht="15" customHeight="1" hidden="1">
      <c r="A97" s="99"/>
      <c r="B97" s="99"/>
      <c r="C97" s="102"/>
      <c r="D97" s="96"/>
      <c r="E97" s="96"/>
      <c r="F97" s="3" t="s">
        <v>38</v>
      </c>
      <c r="G97" s="9">
        <v>86086</v>
      </c>
      <c r="H97" s="9">
        <v>0</v>
      </c>
      <c r="I97" s="9"/>
      <c r="J97" s="9">
        <f>391300*0.22</f>
        <v>86086</v>
      </c>
      <c r="K97" s="9">
        <v>0</v>
      </c>
      <c r="L97" s="9">
        <v>0</v>
      </c>
      <c r="M97" s="9">
        <v>0</v>
      </c>
      <c r="N97" s="9">
        <v>0</v>
      </c>
      <c r="O97" s="14">
        <f>SUM(J97:N97)</f>
        <v>86086</v>
      </c>
      <c r="P97" s="12">
        <f>G97-H97-I97-O97</f>
        <v>0</v>
      </c>
    </row>
    <row r="98" spans="1:16" s="10" customFormat="1" ht="60" customHeight="1">
      <c r="A98" s="97">
        <v>13</v>
      </c>
      <c r="B98" s="97">
        <v>20</v>
      </c>
      <c r="C98" s="103" t="s">
        <v>69</v>
      </c>
      <c r="D98" s="94">
        <v>2009</v>
      </c>
      <c r="E98" s="94">
        <v>2009</v>
      </c>
      <c r="F98" s="23" t="s">
        <v>110</v>
      </c>
      <c r="G98" s="11">
        <f>SUBTOTAL(9,G99:G101)</f>
        <v>380640</v>
      </c>
      <c r="H98" s="11">
        <f>SUBTOTAL(9,H99:H101)</f>
        <v>0</v>
      </c>
      <c r="I98" s="11">
        <f aca="true" t="shared" si="31" ref="I98:P98">SUBTOTAL(9,I99:I101)</f>
        <v>0</v>
      </c>
      <c r="J98" s="11">
        <f t="shared" si="31"/>
        <v>380640</v>
      </c>
      <c r="K98" s="11">
        <f t="shared" si="31"/>
        <v>0</v>
      </c>
      <c r="L98" s="11">
        <f t="shared" si="31"/>
        <v>0</v>
      </c>
      <c r="M98" s="11">
        <f t="shared" si="31"/>
        <v>0</v>
      </c>
      <c r="N98" s="11">
        <f t="shared" si="31"/>
        <v>0</v>
      </c>
      <c r="O98" s="11">
        <f t="shared" si="31"/>
        <v>380640</v>
      </c>
      <c r="P98" s="11">
        <f t="shared" si="31"/>
        <v>0</v>
      </c>
    </row>
    <row r="99" spans="1:16" s="10" customFormat="1" ht="15" customHeight="1" hidden="1">
      <c r="A99" s="98"/>
      <c r="B99" s="98"/>
      <c r="C99" s="104"/>
      <c r="D99" s="95"/>
      <c r="E99" s="95"/>
      <c r="F99" s="23" t="s">
        <v>8</v>
      </c>
      <c r="G99" s="11">
        <v>124800</v>
      </c>
      <c r="H99" s="9">
        <v>0</v>
      </c>
      <c r="I99" s="11"/>
      <c r="J99" s="9">
        <f>312000*0.4</f>
        <v>124800</v>
      </c>
      <c r="K99" s="9">
        <v>0</v>
      </c>
      <c r="L99" s="9">
        <v>0</v>
      </c>
      <c r="M99" s="9">
        <v>0</v>
      </c>
      <c r="N99" s="9">
        <v>0</v>
      </c>
      <c r="O99" s="14">
        <f>SUM(J99:N99)</f>
        <v>124800</v>
      </c>
      <c r="P99" s="12">
        <f>G99-H99-I99-O99</f>
        <v>0</v>
      </c>
    </row>
    <row r="100" spans="1:16" s="10" customFormat="1" ht="15" customHeight="1" hidden="1">
      <c r="A100" s="98"/>
      <c r="B100" s="98"/>
      <c r="C100" s="104"/>
      <c r="D100" s="95"/>
      <c r="E100" s="95"/>
      <c r="F100" s="3" t="s">
        <v>10</v>
      </c>
      <c r="G100" s="9">
        <v>187200</v>
      </c>
      <c r="H100" s="9">
        <v>0</v>
      </c>
      <c r="I100" s="9"/>
      <c r="J100" s="9">
        <f>312000*0.6</f>
        <v>187200</v>
      </c>
      <c r="K100" s="9">
        <v>0</v>
      </c>
      <c r="L100" s="9">
        <v>0</v>
      </c>
      <c r="M100" s="9">
        <v>0</v>
      </c>
      <c r="N100" s="9">
        <v>0</v>
      </c>
      <c r="O100" s="14">
        <f>SUM(J100:N100)</f>
        <v>187200</v>
      </c>
      <c r="P100" s="12">
        <f>G100-H100-I100-O100</f>
        <v>0</v>
      </c>
    </row>
    <row r="101" spans="1:16" s="10" customFormat="1" ht="15" customHeight="1" hidden="1">
      <c r="A101" s="99"/>
      <c r="B101" s="99"/>
      <c r="C101" s="105"/>
      <c r="D101" s="96"/>
      <c r="E101" s="96"/>
      <c r="F101" s="3" t="s">
        <v>38</v>
      </c>
      <c r="G101" s="9">
        <v>68640</v>
      </c>
      <c r="H101" s="9">
        <v>0</v>
      </c>
      <c r="I101" s="9"/>
      <c r="J101" s="9">
        <f>312000*0.22</f>
        <v>68640</v>
      </c>
      <c r="K101" s="9">
        <v>0</v>
      </c>
      <c r="L101" s="9">
        <v>0</v>
      </c>
      <c r="M101" s="9">
        <v>0</v>
      </c>
      <c r="N101" s="9">
        <v>0</v>
      </c>
      <c r="O101" s="14">
        <f>SUM(J101:N101)</f>
        <v>68640</v>
      </c>
      <c r="P101" s="12">
        <f>G101-H101-I101-O101</f>
        <v>0</v>
      </c>
    </row>
    <row r="102" spans="1:16" s="10" customFormat="1" ht="39.75" customHeight="1">
      <c r="A102" s="97">
        <v>13</v>
      </c>
      <c r="B102" s="97">
        <v>21</v>
      </c>
      <c r="C102" s="103" t="s">
        <v>42</v>
      </c>
      <c r="D102" s="94">
        <v>2009</v>
      </c>
      <c r="E102" s="94">
        <v>2009</v>
      </c>
      <c r="F102" s="23" t="s">
        <v>110</v>
      </c>
      <c r="G102" s="11">
        <f>SUBTOTAL(9,G103:G105)</f>
        <v>1098000</v>
      </c>
      <c r="H102" s="11">
        <f>SUBTOTAL(9,H103:H105)</f>
        <v>0</v>
      </c>
      <c r="I102" s="11">
        <f aca="true" t="shared" si="32" ref="I102:P102">SUBTOTAL(9,I103:I105)</f>
        <v>0</v>
      </c>
      <c r="J102" s="11">
        <f t="shared" si="32"/>
        <v>1098000</v>
      </c>
      <c r="K102" s="11">
        <f t="shared" si="32"/>
        <v>0</v>
      </c>
      <c r="L102" s="11">
        <f t="shared" si="32"/>
        <v>0</v>
      </c>
      <c r="M102" s="11">
        <f t="shared" si="32"/>
        <v>0</v>
      </c>
      <c r="N102" s="11">
        <f t="shared" si="32"/>
        <v>0</v>
      </c>
      <c r="O102" s="11">
        <f t="shared" si="32"/>
        <v>1098000</v>
      </c>
      <c r="P102" s="11">
        <f t="shared" si="32"/>
        <v>0</v>
      </c>
    </row>
    <row r="103" spans="1:16" s="10" customFormat="1" ht="15" customHeight="1" hidden="1">
      <c r="A103" s="98"/>
      <c r="B103" s="98"/>
      <c r="C103" s="104"/>
      <c r="D103" s="95"/>
      <c r="E103" s="95"/>
      <c r="F103" s="23" t="s">
        <v>8</v>
      </c>
      <c r="G103" s="11">
        <v>360000</v>
      </c>
      <c r="H103" s="9">
        <v>0</v>
      </c>
      <c r="I103" s="11"/>
      <c r="J103" s="9">
        <f>900000*0.4</f>
        <v>360000</v>
      </c>
      <c r="K103" s="9">
        <v>0</v>
      </c>
      <c r="L103" s="9">
        <v>0</v>
      </c>
      <c r="M103" s="9">
        <v>0</v>
      </c>
      <c r="N103" s="9">
        <v>0</v>
      </c>
      <c r="O103" s="14">
        <f>SUM(J103:N103)</f>
        <v>360000</v>
      </c>
      <c r="P103" s="12">
        <f>G103-H103-I103-O103</f>
        <v>0</v>
      </c>
    </row>
    <row r="104" spans="1:16" s="10" customFormat="1" ht="15" customHeight="1" hidden="1">
      <c r="A104" s="98"/>
      <c r="B104" s="98"/>
      <c r="C104" s="104"/>
      <c r="D104" s="95"/>
      <c r="E104" s="95"/>
      <c r="F104" s="3" t="s">
        <v>10</v>
      </c>
      <c r="G104" s="9">
        <v>540000</v>
      </c>
      <c r="H104" s="9">
        <v>0</v>
      </c>
      <c r="I104" s="9"/>
      <c r="J104" s="9">
        <f>900000*0.6</f>
        <v>540000</v>
      </c>
      <c r="K104" s="9">
        <v>0</v>
      </c>
      <c r="L104" s="9">
        <v>0</v>
      </c>
      <c r="M104" s="9">
        <v>0</v>
      </c>
      <c r="N104" s="9">
        <v>0</v>
      </c>
      <c r="O104" s="14">
        <f>SUM(J104:N104)</f>
        <v>540000</v>
      </c>
      <c r="P104" s="12">
        <f>G104-H104-I104-O104</f>
        <v>0</v>
      </c>
    </row>
    <row r="105" spans="1:16" s="10" customFormat="1" ht="13.5" customHeight="1" hidden="1">
      <c r="A105" s="99"/>
      <c r="B105" s="99"/>
      <c r="C105" s="105"/>
      <c r="D105" s="96"/>
      <c r="E105" s="96"/>
      <c r="F105" s="3" t="s">
        <v>38</v>
      </c>
      <c r="G105" s="9">
        <v>198000</v>
      </c>
      <c r="H105" s="9">
        <v>0</v>
      </c>
      <c r="I105" s="9"/>
      <c r="J105" s="9">
        <f>900000*0.22</f>
        <v>198000</v>
      </c>
      <c r="K105" s="9">
        <v>0</v>
      </c>
      <c r="L105" s="9">
        <v>0</v>
      </c>
      <c r="M105" s="9">
        <v>0</v>
      </c>
      <c r="N105" s="9">
        <v>0</v>
      </c>
      <c r="O105" s="14">
        <f>SUM(J105:N105)</f>
        <v>198000</v>
      </c>
      <c r="P105" s="12">
        <f>G105-H105-I105-O105</f>
        <v>0</v>
      </c>
    </row>
    <row r="106" spans="1:16" s="10" customFormat="1" ht="49.5" customHeight="1">
      <c r="A106" s="97">
        <v>14</v>
      </c>
      <c r="B106" s="97">
        <v>22</v>
      </c>
      <c r="C106" s="103" t="s">
        <v>70</v>
      </c>
      <c r="D106" s="94">
        <v>2009</v>
      </c>
      <c r="E106" s="94">
        <v>2009</v>
      </c>
      <c r="F106" s="23" t="s">
        <v>110</v>
      </c>
      <c r="G106" s="11">
        <f>SUBTOTAL(9,G107:G109)</f>
        <v>244000</v>
      </c>
      <c r="H106" s="11">
        <f>SUBTOTAL(9,H107:H109)</f>
        <v>0</v>
      </c>
      <c r="I106" s="11">
        <f aca="true" t="shared" si="33" ref="I106:P106">SUBTOTAL(9,I107:I109)</f>
        <v>0</v>
      </c>
      <c r="J106" s="11">
        <f t="shared" si="33"/>
        <v>244000</v>
      </c>
      <c r="K106" s="11">
        <f t="shared" si="33"/>
        <v>0</v>
      </c>
      <c r="L106" s="11">
        <f t="shared" si="33"/>
        <v>0</v>
      </c>
      <c r="M106" s="11">
        <f t="shared" si="33"/>
        <v>0</v>
      </c>
      <c r="N106" s="11">
        <f t="shared" si="33"/>
        <v>0</v>
      </c>
      <c r="O106" s="11">
        <f t="shared" si="33"/>
        <v>244000</v>
      </c>
      <c r="P106" s="11">
        <f t="shared" si="33"/>
        <v>0</v>
      </c>
    </row>
    <row r="107" spans="1:16" s="10" customFormat="1" ht="12.75" customHeight="1" hidden="1">
      <c r="A107" s="98"/>
      <c r="B107" s="98"/>
      <c r="C107" s="104"/>
      <c r="D107" s="95"/>
      <c r="E107" s="95"/>
      <c r="F107" s="23" t="s">
        <v>8</v>
      </c>
      <c r="G107" s="11">
        <v>80000</v>
      </c>
      <c r="H107" s="9">
        <v>0</v>
      </c>
      <c r="I107" s="11"/>
      <c r="J107" s="9">
        <f>200000*0.4</f>
        <v>80000</v>
      </c>
      <c r="K107" s="9">
        <v>0</v>
      </c>
      <c r="L107" s="9">
        <v>0</v>
      </c>
      <c r="M107" s="9">
        <v>0</v>
      </c>
      <c r="N107" s="9">
        <v>0</v>
      </c>
      <c r="O107" s="14">
        <f>SUM(J107:N107)</f>
        <v>80000</v>
      </c>
      <c r="P107" s="12">
        <f>G107-H107-I107-O107</f>
        <v>0</v>
      </c>
    </row>
    <row r="108" spans="1:16" s="10" customFormat="1" ht="12.75" customHeight="1" hidden="1">
      <c r="A108" s="98"/>
      <c r="B108" s="98"/>
      <c r="C108" s="104"/>
      <c r="D108" s="95"/>
      <c r="E108" s="95"/>
      <c r="F108" s="3" t="s">
        <v>10</v>
      </c>
      <c r="G108" s="9">
        <v>120000</v>
      </c>
      <c r="H108" s="9">
        <v>0</v>
      </c>
      <c r="I108" s="9"/>
      <c r="J108" s="9">
        <f>200000*0.6</f>
        <v>120000</v>
      </c>
      <c r="K108" s="9">
        <v>0</v>
      </c>
      <c r="L108" s="9">
        <v>0</v>
      </c>
      <c r="M108" s="9">
        <v>0</v>
      </c>
      <c r="N108" s="9">
        <v>0</v>
      </c>
      <c r="O108" s="14">
        <f>SUM(J108:N108)</f>
        <v>120000</v>
      </c>
      <c r="P108" s="12">
        <f>G108-H108-I108-O108</f>
        <v>0</v>
      </c>
    </row>
    <row r="109" spans="1:16" s="10" customFormat="1" ht="12.75" customHeight="1" hidden="1">
      <c r="A109" s="99"/>
      <c r="B109" s="99"/>
      <c r="C109" s="105"/>
      <c r="D109" s="96"/>
      <c r="E109" s="96"/>
      <c r="F109" s="3" t="s">
        <v>38</v>
      </c>
      <c r="G109" s="9">
        <v>44000</v>
      </c>
      <c r="H109" s="9">
        <v>0</v>
      </c>
      <c r="I109" s="9"/>
      <c r="J109" s="9">
        <f>200000*0.22</f>
        <v>44000</v>
      </c>
      <c r="K109" s="9">
        <v>0</v>
      </c>
      <c r="L109" s="9">
        <v>0</v>
      </c>
      <c r="M109" s="9">
        <v>0</v>
      </c>
      <c r="N109" s="9">
        <v>0</v>
      </c>
      <c r="O109" s="14">
        <f>SUM(J109:N109)</f>
        <v>44000</v>
      </c>
      <c r="P109" s="12">
        <f>G109-H109-I109-O109</f>
        <v>0</v>
      </c>
    </row>
    <row r="110" spans="1:16" s="10" customFormat="1" ht="49.5" customHeight="1">
      <c r="A110" s="97">
        <v>15</v>
      </c>
      <c r="B110" s="97">
        <v>23</v>
      </c>
      <c r="C110" s="103" t="s">
        <v>71</v>
      </c>
      <c r="D110" s="94">
        <v>2009</v>
      </c>
      <c r="E110" s="94">
        <v>2009</v>
      </c>
      <c r="F110" s="23" t="s">
        <v>110</v>
      </c>
      <c r="G110" s="11">
        <f>SUBTOTAL(9,G111:G113)</f>
        <v>549000</v>
      </c>
      <c r="H110" s="11">
        <f>SUBTOTAL(9,H111:H113)</f>
        <v>0</v>
      </c>
      <c r="I110" s="11">
        <f aca="true" t="shared" si="34" ref="I110:P110">SUBTOTAL(9,I111:I113)</f>
        <v>0</v>
      </c>
      <c r="J110" s="11">
        <f t="shared" si="34"/>
        <v>549000</v>
      </c>
      <c r="K110" s="11">
        <f t="shared" si="34"/>
        <v>0</v>
      </c>
      <c r="L110" s="11">
        <f t="shared" si="34"/>
        <v>0</v>
      </c>
      <c r="M110" s="11">
        <f t="shared" si="34"/>
        <v>0</v>
      </c>
      <c r="N110" s="11">
        <f t="shared" si="34"/>
        <v>0</v>
      </c>
      <c r="O110" s="11">
        <f t="shared" si="34"/>
        <v>549000</v>
      </c>
      <c r="P110" s="11">
        <f t="shared" si="34"/>
        <v>0</v>
      </c>
    </row>
    <row r="111" spans="1:16" s="10" customFormat="1" ht="12.75" customHeight="1" hidden="1">
      <c r="A111" s="98"/>
      <c r="B111" s="98"/>
      <c r="C111" s="104"/>
      <c r="D111" s="95"/>
      <c r="E111" s="95"/>
      <c r="F111" s="23" t="s">
        <v>8</v>
      </c>
      <c r="G111" s="11">
        <v>180000</v>
      </c>
      <c r="H111" s="9">
        <v>0</v>
      </c>
      <c r="I111" s="11"/>
      <c r="J111" s="9">
        <f>450000*0.4</f>
        <v>180000</v>
      </c>
      <c r="K111" s="9">
        <v>0</v>
      </c>
      <c r="L111" s="9">
        <v>0</v>
      </c>
      <c r="M111" s="9">
        <v>0</v>
      </c>
      <c r="N111" s="9">
        <v>0</v>
      </c>
      <c r="O111" s="14">
        <f>SUM(J111:N111)</f>
        <v>180000</v>
      </c>
      <c r="P111" s="12">
        <f>G111-H111-I111-O111</f>
        <v>0</v>
      </c>
    </row>
    <row r="112" spans="1:16" s="10" customFormat="1" ht="12.75" customHeight="1" hidden="1">
      <c r="A112" s="98"/>
      <c r="B112" s="98"/>
      <c r="C112" s="104"/>
      <c r="D112" s="95"/>
      <c r="E112" s="95"/>
      <c r="F112" s="3" t="s">
        <v>10</v>
      </c>
      <c r="G112" s="9">
        <v>270000</v>
      </c>
      <c r="H112" s="9">
        <v>0</v>
      </c>
      <c r="I112" s="9"/>
      <c r="J112" s="9">
        <f>450000*0.6</f>
        <v>270000</v>
      </c>
      <c r="K112" s="9">
        <v>0</v>
      </c>
      <c r="L112" s="9">
        <v>0</v>
      </c>
      <c r="M112" s="9">
        <v>0</v>
      </c>
      <c r="N112" s="9">
        <v>0</v>
      </c>
      <c r="O112" s="14">
        <f>SUM(J112:N112)</f>
        <v>270000</v>
      </c>
      <c r="P112" s="12">
        <f>G112-H112-I112-O112</f>
        <v>0</v>
      </c>
    </row>
    <row r="113" spans="1:16" s="10" customFormat="1" ht="12.75" customHeight="1" hidden="1">
      <c r="A113" s="99"/>
      <c r="B113" s="99"/>
      <c r="C113" s="105"/>
      <c r="D113" s="96"/>
      <c r="E113" s="96"/>
      <c r="F113" s="3" t="s">
        <v>38</v>
      </c>
      <c r="G113" s="9">
        <v>99000</v>
      </c>
      <c r="H113" s="9">
        <v>0</v>
      </c>
      <c r="I113" s="9"/>
      <c r="J113" s="9">
        <f>450000*0.22</f>
        <v>99000</v>
      </c>
      <c r="K113" s="9">
        <v>0</v>
      </c>
      <c r="L113" s="9">
        <v>0</v>
      </c>
      <c r="M113" s="9">
        <v>0</v>
      </c>
      <c r="N113" s="9">
        <v>0</v>
      </c>
      <c r="O113" s="14">
        <f>SUM(J113:N113)</f>
        <v>99000</v>
      </c>
      <c r="P113" s="12">
        <f>G113-H113-I113-O113</f>
        <v>0</v>
      </c>
    </row>
    <row r="114" spans="1:16" s="10" customFormat="1" ht="30" customHeight="1">
      <c r="A114" s="97">
        <v>18</v>
      </c>
      <c r="B114" s="97">
        <v>24</v>
      </c>
      <c r="C114" s="100" t="s">
        <v>44</v>
      </c>
      <c r="D114" s="94">
        <v>2009</v>
      </c>
      <c r="E114" s="94">
        <v>2010</v>
      </c>
      <c r="F114" s="23" t="s">
        <v>110</v>
      </c>
      <c r="G114" s="11">
        <f>SUBTOTAL(9,G115:G117)</f>
        <v>4839999.64</v>
      </c>
      <c r="H114" s="11">
        <f>SUBTOTAL(9,H115:H117)</f>
        <v>0</v>
      </c>
      <c r="I114" s="11">
        <f aca="true" t="shared" si="35" ref="I114:P114">SUBTOTAL(9,I115:I117)</f>
        <v>0</v>
      </c>
      <c r="J114" s="11">
        <f t="shared" si="35"/>
        <v>3457143.06</v>
      </c>
      <c r="K114" s="11">
        <f t="shared" si="35"/>
        <v>1382856.58</v>
      </c>
      <c r="L114" s="11">
        <f t="shared" si="35"/>
        <v>0</v>
      </c>
      <c r="M114" s="11">
        <f t="shared" si="35"/>
        <v>0</v>
      </c>
      <c r="N114" s="11">
        <f t="shared" si="35"/>
        <v>0</v>
      </c>
      <c r="O114" s="11">
        <f t="shared" si="35"/>
        <v>4839999.64</v>
      </c>
      <c r="P114" s="11">
        <f t="shared" si="35"/>
        <v>0</v>
      </c>
    </row>
    <row r="115" spans="1:16" s="10" customFormat="1" ht="12.75" customHeight="1" hidden="1">
      <c r="A115" s="98"/>
      <c r="B115" s="98"/>
      <c r="C115" s="101"/>
      <c r="D115" s="95"/>
      <c r="E115" s="95"/>
      <c r="F115" s="23" t="s">
        <v>8</v>
      </c>
      <c r="G115" s="9">
        <f>J115+K115</f>
        <v>1586885.2000000002</v>
      </c>
      <c r="H115" s="9">
        <v>0</v>
      </c>
      <c r="I115" s="9">
        <v>0</v>
      </c>
      <c r="J115" s="11">
        <f>(2576112+257612)*0.4</f>
        <v>1133489.6</v>
      </c>
      <c r="K115" s="9">
        <f>(1030445+103044)*0.4</f>
        <v>453395.60000000003</v>
      </c>
      <c r="L115" s="9">
        <v>0</v>
      </c>
      <c r="M115" s="9">
        <v>0</v>
      </c>
      <c r="N115" s="9">
        <v>0</v>
      </c>
      <c r="O115" s="14">
        <f>SUM(J115:N115)</f>
        <v>1586885.2000000002</v>
      </c>
      <c r="P115" s="12">
        <f>G115-H115-I115-O115</f>
        <v>0</v>
      </c>
    </row>
    <row r="116" spans="1:16" s="10" customFormat="1" ht="12.75" customHeight="1" hidden="1">
      <c r="A116" s="98"/>
      <c r="B116" s="98"/>
      <c r="C116" s="101"/>
      <c r="D116" s="95"/>
      <c r="E116" s="95"/>
      <c r="F116" s="3" t="s">
        <v>10</v>
      </c>
      <c r="G116" s="9">
        <f>J116+K116</f>
        <v>2380327.8</v>
      </c>
      <c r="H116" s="9">
        <v>0</v>
      </c>
      <c r="I116" s="9">
        <v>0</v>
      </c>
      <c r="J116" s="11">
        <f>(2576112+257612)*0.6</f>
        <v>1700234.4</v>
      </c>
      <c r="K116" s="9">
        <f>(1030445+103044)*0.6</f>
        <v>680093.4</v>
      </c>
      <c r="L116" s="9">
        <v>0</v>
      </c>
      <c r="M116" s="9">
        <v>0</v>
      </c>
      <c r="N116" s="9">
        <v>0</v>
      </c>
      <c r="O116" s="14">
        <f>SUM(J116:N116)</f>
        <v>2380327.8</v>
      </c>
      <c r="P116" s="12">
        <f>G116-H116-I116-O116</f>
        <v>0</v>
      </c>
    </row>
    <row r="117" spans="1:16" s="10" customFormat="1" ht="12.75" customHeight="1" hidden="1">
      <c r="A117" s="99"/>
      <c r="B117" s="99"/>
      <c r="C117" s="102"/>
      <c r="D117" s="96"/>
      <c r="E117" s="96"/>
      <c r="F117" s="3" t="s">
        <v>38</v>
      </c>
      <c r="G117" s="9">
        <f>J117+K117</f>
        <v>872786.64</v>
      </c>
      <c r="H117" s="9">
        <v>0</v>
      </c>
      <c r="I117" s="9">
        <v>0</v>
      </c>
      <c r="J117" s="11">
        <f>(2576112+257611)*0.22</f>
        <v>623419.06</v>
      </c>
      <c r="K117" s="9">
        <f>(1030445+103044)*0.22</f>
        <v>249367.58</v>
      </c>
      <c r="L117" s="9">
        <v>0</v>
      </c>
      <c r="M117" s="9">
        <v>0</v>
      </c>
      <c r="N117" s="9">
        <v>0</v>
      </c>
      <c r="O117" s="14">
        <f>SUM(J117:N117)</f>
        <v>872786.64</v>
      </c>
      <c r="P117" s="12">
        <f>G117-H117-I117-O117</f>
        <v>0</v>
      </c>
    </row>
    <row r="118" spans="1:16" s="10" customFormat="1" ht="39.75" customHeight="1">
      <c r="A118" s="97">
        <v>21</v>
      </c>
      <c r="B118" s="97">
        <v>25</v>
      </c>
      <c r="C118" s="100" t="s">
        <v>48</v>
      </c>
      <c r="D118" s="94">
        <v>2009</v>
      </c>
      <c r="E118" s="94">
        <v>2010</v>
      </c>
      <c r="F118" s="23" t="s">
        <v>110</v>
      </c>
      <c r="G118" s="11">
        <f>SUBTOTAL(9,G119:G121)</f>
        <v>6489999.64</v>
      </c>
      <c r="H118" s="11">
        <f>SUBTOTAL(9,H119:H121)</f>
        <v>0</v>
      </c>
      <c r="I118" s="11">
        <f aca="true" t="shared" si="36" ref="I118:P118">SUBTOTAL(9,I119:I121)</f>
        <v>0</v>
      </c>
      <c r="J118" s="11">
        <f t="shared" si="36"/>
        <v>4129999.5200000005</v>
      </c>
      <c r="K118" s="11">
        <f t="shared" si="36"/>
        <v>2360000.12</v>
      </c>
      <c r="L118" s="11">
        <f t="shared" si="36"/>
        <v>0</v>
      </c>
      <c r="M118" s="11">
        <f t="shared" si="36"/>
        <v>0</v>
      </c>
      <c r="N118" s="11">
        <f t="shared" si="36"/>
        <v>0</v>
      </c>
      <c r="O118" s="11">
        <f t="shared" si="36"/>
        <v>6489999.64</v>
      </c>
      <c r="P118" s="11">
        <f t="shared" si="36"/>
        <v>0</v>
      </c>
    </row>
    <row r="119" spans="1:16" s="10" customFormat="1" ht="12.75" customHeight="1" hidden="1">
      <c r="A119" s="98"/>
      <c r="B119" s="98"/>
      <c r="C119" s="101"/>
      <c r="D119" s="95"/>
      <c r="E119" s="95"/>
      <c r="F119" s="23" t="s">
        <v>8</v>
      </c>
      <c r="G119" s="13">
        <f>J119+K119</f>
        <v>2127869.2</v>
      </c>
      <c r="H119" s="9">
        <v>0</v>
      </c>
      <c r="I119" s="9">
        <v>0</v>
      </c>
      <c r="J119" s="11">
        <f>(3077496+307750)*0.4</f>
        <v>1354098.4000000001</v>
      </c>
      <c r="K119" s="9">
        <f>(1758569+175858)*0.4</f>
        <v>773770.8</v>
      </c>
      <c r="L119" s="9">
        <v>0</v>
      </c>
      <c r="M119" s="9">
        <v>0</v>
      </c>
      <c r="N119" s="9">
        <v>0</v>
      </c>
      <c r="O119" s="14">
        <f>SUM(J119:N119)</f>
        <v>2127869.2</v>
      </c>
      <c r="P119" s="12">
        <f>G119-H119-I119-O119</f>
        <v>0</v>
      </c>
    </row>
    <row r="120" spans="1:16" s="10" customFormat="1" ht="12.75" customHeight="1" hidden="1">
      <c r="A120" s="98"/>
      <c r="B120" s="98"/>
      <c r="C120" s="101"/>
      <c r="D120" s="95"/>
      <c r="E120" s="95"/>
      <c r="F120" s="3" t="s">
        <v>10</v>
      </c>
      <c r="G120" s="13">
        <f>J120+K120</f>
        <v>3191802.5999999996</v>
      </c>
      <c r="H120" s="9">
        <v>0</v>
      </c>
      <c r="I120" s="9">
        <v>0</v>
      </c>
      <c r="J120" s="11">
        <f>(3077496+307749)*0.6</f>
        <v>2031147</v>
      </c>
      <c r="K120" s="9">
        <f>(1758569+175857)*0.6</f>
        <v>1160655.5999999999</v>
      </c>
      <c r="L120" s="9">
        <v>0</v>
      </c>
      <c r="M120" s="9">
        <v>0</v>
      </c>
      <c r="N120" s="9">
        <v>0</v>
      </c>
      <c r="O120" s="14">
        <f>SUM(J120:N120)</f>
        <v>3191802.5999999996</v>
      </c>
      <c r="P120" s="12">
        <f>G120-H120-I120-O120</f>
        <v>0</v>
      </c>
    </row>
    <row r="121" spans="1:16" s="10" customFormat="1" ht="12.75" customHeight="1" hidden="1">
      <c r="A121" s="99"/>
      <c r="B121" s="99"/>
      <c r="C121" s="102"/>
      <c r="D121" s="96"/>
      <c r="E121" s="96"/>
      <c r="F121" s="3" t="s">
        <v>38</v>
      </c>
      <c r="G121" s="13">
        <f>J121+K121</f>
        <v>1170327.84</v>
      </c>
      <c r="H121" s="9">
        <v>0</v>
      </c>
      <c r="I121" s="9">
        <v>0</v>
      </c>
      <c r="J121" s="11">
        <f>(3077496+307750)*0.22</f>
        <v>744754.12</v>
      </c>
      <c r="K121" s="9">
        <f>(1758569+175857)*0.22</f>
        <v>425573.72000000003</v>
      </c>
      <c r="L121" s="9">
        <v>0</v>
      </c>
      <c r="M121" s="9">
        <v>0</v>
      </c>
      <c r="N121" s="9">
        <v>0</v>
      </c>
      <c r="O121" s="14">
        <f>SUM(J121:N121)</f>
        <v>1170327.84</v>
      </c>
      <c r="P121" s="12">
        <f>G121-H121-I121-O121</f>
        <v>0</v>
      </c>
    </row>
    <row r="122" spans="1:16" s="10" customFormat="1" ht="30" customHeight="1">
      <c r="A122" s="97">
        <v>22</v>
      </c>
      <c r="B122" s="97">
        <v>26</v>
      </c>
      <c r="C122" s="100" t="s">
        <v>15</v>
      </c>
      <c r="D122" s="94">
        <v>2009</v>
      </c>
      <c r="E122" s="94">
        <v>2010</v>
      </c>
      <c r="F122" s="23" t="s">
        <v>110</v>
      </c>
      <c r="G122" s="11">
        <f>SUBTOTAL(9,G123:G125)</f>
        <v>1980000.22</v>
      </c>
      <c r="H122" s="11">
        <f>SUBTOTAL(9,H123:H125)</f>
        <v>0</v>
      </c>
      <c r="I122" s="11">
        <f aca="true" t="shared" si="37" ref="I122:P122">SUBTOTAL(9,I123:I125)</f>
        <v>0</v>
      </c>
      <c r="J122" s="11">
        <f>SUBTOTAL(9,J123:J125)</f>
        <v>1732500.04</v>
      </c>
      <c r="K122" s="11">
        <f>SUBTOTAL(9,K123:K125)</f>
        <v>247500.18</v>
      </c>
      <c r="L122" s="11">
        <f t="shared" si="37"/>
        <v>0</v>
      </c>
      <c r="M122" s="11">
        <f t="shared" si="37"/>
        <v>0</v>
      </c>
      <c r="N122" s="11">
        <f t="shared" si="37"/>
        <v>0</v>
      </c>
      <c r="O122" s="11">
        <f t="shared" si="37"/>
        <v>1980000.22</v>
      </c>
      <c r="P122" s="11">
        <f t="shared" si="37"/>
        <v>0</v>
      </c>
    </row>
    <row r="123" spans="1:16" s="10" customFormat="1" ht="12.75" customHeight="1" hidden="1">
      <c r="A123" s="98"/>
      <c r="B123" s="98"/>
      <c r="C123" s="101"/>
      <c r="D123" s="95"/>
      <c r="E123" s="95"/>
      <c r="F123" s="23" t="s">
        <v>8</v>
      </c>
      <c r="G123" s="13">
        <f>J123+K123</f>
        <v>649180.4</v>
      </c>
      <c r="H123" s="9">
        <v>0</v>
      </c>
      <c r="I123" s="9">
        <v>0</v>
      </c>
      <c r="J123" s="11">
        <f>(1290984+129098)*0.4</f>
        <v>568032.8</v>
      </c>
      <c r="K123" s="9">
        <f>(184426+18443)*0.4</f>
        <v>81147.6</v>
      </c>
      <c r="L123" s="9">
        <v>0</v>
      </c>
      <c r="M123" s="9">
        <v>0</v>
      </c>
      <c r="N123" s="9">
        <v>0</v>
      </c>
      <c r="O123" s="14">
        <f>SUM(J123:N123)</f>
        <v>649180.4</v>
      </c>
      <c r="P123" s="12">
        <f>G123-H123-I123-O123</f>
        <v>0</v>
      </c>
    </row>
    <row r="124" spans="1:16" s="10" customFormat="1" ht="12.75" customHeight="1" hidden="1">
      <c r="A124" s="98"/>
      <c r="B124" s="98"/>
      <c r="C124" s="101"/>
      <c r="D124" s="95"/>
      <c r="E124" s="95"/>
      <c r="F124" s="3" t="s">
        <v>10</v>
      </c>
      <c r="G124" s="13">
        <f>J124+K124</f>
        <v>973770.6</v>
      </c>
      <c r="H124" s="9">
        <v>0</v>
      </c>
      <c r="I124" s="9">
        <v>0</v>
      </c>
      <c r="J124" s="11">
        <f>(1290984+129098)*0.6</f>
        <v>852049.2</v>
      </c>
      <c r="K124" s="9">
        <f>(184426+18443)*0.6</f>
        <v>121721.4</v>
      </c>
      <c r="L124" s="9">
        <v>0</v>
      </c>
      <c r="M124" s="9">
        <v>0</v>
      </c>
      <c r="N124" s="9">
        <v>0</v>
      </c>
      <c r="O124" s="14">
        <f>SUM(J124:N124)</f>
        <v>973770.6</v>
      </c>
      <c r="P124" s="12">
        <f>G124-H124-I124-O124</f>
        <v>0</v>
      </c>
    </row>
    <row r="125" spans="1:16" s="10" customFormat="1" ht="12.75" customHeight="1" hidden="1">
      <c r="A125" s="99"/>
      <c r="B125" s="99"/>
      <c r="C125" s="102"/>
      <c r="D125" s="96"/>
      <c r="E125" s="96"/>
      <c r="F125" s="3" t="s">
        <v>38</v>
      </c>
      <c r="G125" s="13">
        <f>J125+K125</f>
        <v>357049.22</v>
      </c>
      <c r="H125" s="9">
        <v>0</v>
      </c>
      <c r="I125" s="9">
        <v>0</v>
      </c>
      <c r="J125" s="11">
        <f>(1290984+129098)*0.22</f>
        <v>312418.04</v>
      </c>
      <c r="K125" s="9">
        <f>(184426+18443)*0.22</f>
        <v>44631.18</v>
      </c>
      <c r="L125" s="9">
        <v>0</v>
      </c>
      <c r="M125" s="9">
        <v>0</v>
      </c>
      <c r="N125" s="9">
        <v>0</v>
      </c>
      <c r="O125" s="14">
        <f>SUM(J125:N125)</f>
        <v>357049.22</v>
      </c>
      <c r="P125" s="12">
        <f>G125-H125-I125-O125</f>
        <v>0</v>
      </c>
    </row>
    <row r="126" spans="1:16" s="10" customFormat="1" ht="30" customHeight="1">
      <c r="A126" s="97">
        <v>53</v>
      </c>
      <c r="B126" s="97">
        <v>27</v>
      </c>
      <c r="C126" s="100" t="s">
        <v>46</v>
      </c>
      <c r="D126" s="94">
        <v>2009</v>
      </c>
      <c r="E126" s="94">
        <v>2010</v>
      </c>
      <c r="F126" s="23" t="s">
        <v>110</v>
      </c>
      <c r="G126" s="11">
        <f>SUBTOTAL(9,G127:G129)</f>
        <v>1572999.68</v>
      </c>
      <c r="H126" s="11">
        <f>SUBTOTAL(9,H127:H129)</f>
        <v>0</v>
      </c>
      <c r="I126" s="11">
        <f aca="true" t="shared" si="38" ref="I126:P126">SUBTOTAL(9,I127:I129)</f>
        <v>0</v>
      </c>
      <c r="J126" s="11">
        <f t="shared" si="38"/>
        <v>917582.74</v>
      </c>
      <c r="K126" s="11">
        <f t="shared" si="38"/>
        <v>655416.94</v>
      </c>
      <c r="L126" s="11">
        <f t="shared" si="38"/>
        <v>0</v>
      </c>
      <c r="M126" s="11">
        <f t="shared" si="38"/>
        <v>0</v>
      </c>
      <c r="N126" s="11">
        <f t="shared" si="38"/>
        <v>0</v>
      </c>
      <c r="O126" s="11">
        <f t="shared" si="38"/>
        <v>1572999.68</v>
      </c>
      <c r="P126" s="11">
        <f t="shared" si="38"/>
        <v>0</v>
      </c>
    </row>
    <row r="127" spans="1:16" s="10" customFormat="1" ht="12.75" customHeight="1" hidden="1">
      <c r="A127" s="98"/>
      <c r="B127" s="98"/>
      <c r="C127" s="101"/>
      <c r="D127" s="95"/>
      <c r="E127" s="95"/>
      <c r="F127" s="23" t="s">
        <v>8</v>
      </c>
      <c r="G127" s="13">
        <f>J127+K127</f>
        <v>515737.6</v>
      </c>
      <c r="H127" s="13">
        <v>0</v>
      </c>
      <c r="I127" s="9">
        <v>0</v>
      </c>
      <c r="J127" s="9">
        <f>(683744+68373)*0.4</f>
        <v>300846.8</v>
      </c>
      <c r="K127" s="9">
        <f>(488388+48839)*0.4</f>
        <v>214890.80000000002</v>
      </c>
      <c r="L127" s="9">
        <v>0</v>
      </c>
      <c r="M127" s="9">
        <v>0</v>
      </c>
      <c r="N127" s="9">
        <v>0</v>
      </c>
      <c r="O127" s="14">
        <f>SUM(J127:N127)</f>
        <v>515737.6</v>
      </c>
      <c r="P127" s="12">
        <f>G127-H127-I127-O127</f>
        <v>0</v>
      </c>
    </row>
    <row r="128" spans="1:16" s="10" customFormat="1" ht="12.75" customHeight="1" hidden="1">
      <c r="A128" s="98"/>
      <c r="B128" s="98"/>
      <c r="C128" s="101"/>
      <c r="D128" s="95"/>
      <c r="E128" s="95"/>
      <c r="F128" s="3" t="s">
        <v>10</v>
      </c>
      <c r="G128" s="13">
        <f>J128+K128</f>
        <v>773606.4</v>
      </c>
      <c r="H128" s="9">
        <v>0</v>
      </c>
      <c r="I128" s="9">
        <v>0</v>
      </c>
      <c r="J128" s="9">
        <f>(683744+68373)*0.6</f>
        <v>451270.2</v>
      </c>
      <c r="K128" s="9">
        <f>(488388+48839)*0.6</f>
        <v>322336.2</v>
      </c>
      <c r="L128" s="9">
        <v>0</v>
      </c>
      <c r="M128" s="9">
        <v>0</v>
      </c>
      <c r="N128" s="9">
        <v>0</v>
      </c>
      <c r="O128" s="14">
        <f>SUM(J128:N128)</f>
        <v>773606.4</v>
      </c>
      <c r="P128" s="12">
        <f>G128-H128-I128-O128</f>
        <v>0</v>
      </c>
    </row>
    <row r="129" spans="1:16" s="10" customFormat="1" ht="12.75" customHeight="1" hidden="1">
      <c r="A129" s="99"/>
      <c r="B129" s="99"/>
      <c r="C129" s="102"/>
      <c r="D129" s="96"/>
      <c r="E129" s="96"/>
      <c r="F129" s="3" t="s">
        <v>38</v>
      </c>
      <c r="G129" s="13">
        <f>J129+K129</f>
        <v>283655.68</v>
      </c>
      <c r="H129" s="9">
        <v>0</v>
      </c>
      <c r="I129" s="9">
        <v>0</v>
      </c>
      <c r="J129" s="9">
        <f>(683744+68373)*0.22</f>
        <v>165465.74</v>
      </c>
      <c r="K129" s="9">
        <f>(488388+48839)*0.22</f>
        <v>118189.94</v>
      </c>
      <c r="L129" s="9">
        <v>0</v>
      </c>
      <c r="M129" s="9">
        <v>0</v>
      </c>
      <c r="N129" s="9">
        <v>0</v>
      </c>
      <c r="O129" s="14">
        <f>SUM(J129:N129)</f>
        <v>283655.68</v>
      </c>
      <c r="P129" s="12">
        <f>G129-H129-I129-O129</f>
        <v>0</v>
      </c>
    </row>
    <row r="130" spans="1:16" s="10" customFormat="1" ht="39.75" customHeight="1">
      <c r="A130" s="97">
        <v>53</v>
      </c>
      <c r="B130" s="97">
        <v>28</v>
      </c>
      <c r="C130" s="100" t="s">
        <v>47</v>
      </c>
      <c r="D130" s="94">
        <v>2009</v>
      </c>
      <c r="E130" s="94">
        <v>2010</v>
      </c>
      <c r="F130" s="23" t="s">
        <v>110</v>
      </c>
      <c r="G130" s="11">
        <f>SUBTOTAL(9,G131:G133)</f>
        <v>1869999.94</v>
      </c>
      <c r="H130" s="11">
        <f>SUBTOTAL(9,H131:H133)</f>
        <v>0</v>
      </c>
      <c r="I130" s="11">
        <f aca="true" t="shared" si="39" ref="I130:P130">SUBTOTAL(9,I131:I133)</f>
        <v>0</v>
      </c>
      <c r="J130" s="11">
        <f t="shared" si="39"/>
        <v>1090833.72</v>
      </c>
      <c r="K130" s="11">
        <f t="shared" si="39"/>
        <v>779166.2200000001</v>
      </c>
      <c r="L130" s="11">
        <f t="shared" si="39"/>
        <v>0</v>
      </c>
      <c r="M130" s="11">
        <f t="shared" si="39"/>
        <v>0</v>
      </c>
      <c r="N130" s="11">
        <f t="shared" si="39"/>
        <v>0</v>
      </c>
      <c r="O130" s="11">
        <f t="shared" si="39"/>
        <v>1869999.94</v>
      </c>
      <c r="P130" s="11">
        <f t="shared" si="39"/>
        <v>0</v>
      </c>
    </row>
    <row r="131" spans="1:16" s="10" customFormat="1" ht="12.75" customHeight="1" hidden="1">
      <c r="A131" s="98"/>
      <c r="B131" s="98"/>
      <c r="C131" s="101"/>
      <c r="D131" s="95"/>
      <c r="E131" s="95"/>
      <c r="F131" s="23" t="s">
        <v>8</v>
      </c>
      <c r="G131" s="13">
        <f>J131+K131</f>
        <v>613115.2000000001</v>
      </c>
      <c r="H131" s="13">
        <v>0</v>
      </c>
      <c r="I131" s="9">
        <v>0</v>
      </c>
      <c r="J131" s="9">
        <f>(812842+81284)*0.4</f>
        <v>357650.4</v>
      </c>
      <c r="K131" s="9">
        <f>(580601+58061)*0.4</f>
        <v>255464.80000000002</v>
      </c>
      <c r="L131" s="9">
        <v>0</v>
      </c>
      <c r="M131" s="9">
        <v>0</v>
      </c>
      <c r="N131" s="9">
        <v>0</v>
      </c>
      <c r="O131" s="14">
        <f>SUM(J131:N131)</f>
        <v>613115.2000000001</v>
      </c>
      <c r="P131" s="12">
        <f>G131-H131-I131-O131</f>
        <v>0</v>
      </c>
    </row>
    <row r="132" spans="1:16" s="10" customFormat="1" ht="12.75" customHeight="1" hidden="1">
      <c r="A132" s="98"/>
      <c r="B132" s="98"/>
      <c r="C132" s="101"/>
      <c r="D132" s="95"/>
      <c r="E132" s="95"/>
      <c r="F132" s="3" t="s">
        <v>10</v>
      </c>
      <c r="G132" s="13">
        <f>J132+K132</f>
        <v>919671.6</v>
      </c>
      <c r="H132" s="9">
        <v>0</v>
      </c>
      <c r="I132" s="9">
        <v>0</v>
      </c>
      <c r="J132" s="9">
        <f>(812842+81284)*0.6</f>
        <v>536475.6</v>
      </c>
      <c r="K132" s="9">
        <f>(580601+58059)*0.6</f>
        <v>383196</v>
      </c>
      <c r="L132" s="9">
        <v>0</v>
      </c>
      <c r="M132" s="9">
        <v>0</v>
      </c>
      <c r="N132" s="9">
        <v>0</v>
      </c>
      <c r="O132" s="14">
        <f>SUM(J132:N132)</f>
        <v>919671.6</v>
      </c>
      <c r="P132" s="12">
        <f>G132-H132-I132-O132</f>
        <v>0</v>
      </c>
    </row>
    <row r="133" spans="1:16" s="10" customFormat="1" ht="12.75" customHeight="1" hidden="1">
      <c r="A133" s="99"/>
      <c r="B133" s="99"/>
      <c r="C133" s="102"/>
      <c r="D133" s="96"/>
      <c r="E133" s="96"/>
      <c r="F133" s="3" t="s">
        <v>38</v>
      </c>
      <c r="G133" s="13">
        <f>J133+K133</f>
        <v>337213.14</v>
      </c>
      <c r="H133" s="9">
        <v>0</v>
      </c>
      <c r="I133" s="9">
        <v>0</v>
      </c>
      <c r="J133" s="9">
        <f>(812842+81284)*0.22</f>
        <v>196707.72</v>
      </c>
      <c r="K133" s="9">
        <f>(580601+58060)*0.22</f>
        <v>140505.42</v>
      </c>
      <c r="L133" s="9">
        <v>0</v>
      </c>
      <c r="M133" s="9">
        <v>0</v>
      </c>
      <c r="N133" s="9">
        <v>0</v>
      </c>
      <c r="O133" s="14">
        <f>SUM(J133:N133)</f>
        <v>337213.14</v>
      </c>
      <c r="P133" s="12">
        <f>G133-H133-I133-O133</f>
        <v>0</v>
      </c>
    </row>
    <row r="134" spans="1:16" s="10" customFormat="1" ht="30" customHeight="1">
      <c r="A134" s="97">
        <v>24</v>
      </c>
      <c r="B134" s="97">
        <v>29</v>
      </c>
      <c r="C134" s="103" t="s">
        <v>108</v>
      </c>
      <c r="D134" s="94">
        <v>2009</v>
      </c>
      <c r="E134" s="94">
        <v>2010</v>
      </c>
      <c r="F134" s="23" t="s">
        <v>110</v>
      </c>
      <c r="G134" s="11">
        <f>SUBTOTAL(9,G135:G137)</f>
        <v>5526356</v>
      </c>
      <c r="H134" s="11">
        <f>SUBTOTAL(9,H135:H137)</f>
        <v>0</v>
      </c>
      <c r="I134" s="11">
        <f aca="true" t="shared" si="40" ref="I134:P134">SUBTOTAL(9,I135:I137)</f>
        <v>0</v>
      </c>
      <c r="J134" s="11">
        <f t="shared" si="40"/>
        <v>2975730.06</v>
      </c>
      <c r="K134" s="11">
        <f t="shared" si="40"/>
        <v>2550625.94</v>
      </c>
      <c r="L134" s="11">
        <f t="shared" si="40"/>
        <v>0</v>
      </c>
      <c r="M134" s="11">
        <f t="shared" si="40"/>
        <v>0</v>
      </c>
      <c r="N134" s="11">
        <f t="shared" si="40"/>
        <v>0</v>
      </c>
      <c r="O134" s="11">
        <f t="shared" si="40"/>
        <v>5526356</v>
      </c>
      <c r="P134" s="11">
        <f t="shared" si="40"/>
        <v>0</v>
      </c>
    </row>
    <row r="135" spans="1:16" s="10" customFormat="1" ht="12.75" customHeight="1" hidden="1">
      <c r="A135" s="98"/>
      <c r="B135" s="98"/>
      <c r="C135" s="104"/>
      <c r="D135" s="95"/>
      <c r="E135" s="95"/>
      <c r="F135" s="23" t="s">
        <v>8</v>
      </c>
      <c r="G135" s="11">
        <f>J135+K135</f>
        <v>1811920</v>
      </c>
      <c r="H135" s="9">
        <v>0</v>
      </c>
      <c r="I135" s="9">
        <v>0</v>
      </c>
      <c r="J135" s="11">
        <f>(2217385+221738)*0.4</f>
        <v>975649.2000000001</v>
      </c>
      <c r="K135" s="9">
        <f>(1900616+190061)*0.4</f>
        <v>836270.8</v>
      </c>
      <c r="L135" s="9">
        <v>0</v>
      </c>
      <c r="M135" s="9">
        <v>0</v>
      </c>
      <c r="N135" s="9">
        <v>0</v>
      </c>
      <c r="O135" s="14">
        <f>SUM(J135:N135)</f>
        <v>1811920</v>
      </c>
      <c r="P135" s="12">
        <f>G135-H135-I135-O135</f>
        <v>0</v>
      </c>
    </row>
    <row r="136" spans="1:16" s="10" customFormat="1" ht="12.75" customHeight="1" hidden="1">
      <c r="A136" s="98"/>
      <c r="B136" s="98"/>
      <c r="C136" s="104"/>
      <c r="D136" s="95"/>
      <c r="E136" s="95"/>
      <c r="F136" s="3" t="s">
        <v>10</v>
      </c>
      <c r="G136" s="11">
        <f>J136+K136</f>
        <v>2717880</v>
      </c>
      <c r="H136" s="9">
        <v>0</v>
      </c>
      <c r="I136" s="9">
        <v>0</v>
      </c>
      <c r="J136" s="11">
        <f>(2217385+221738)*0.6</f>
        <v>1463473.8</v>
      </c>
      <c r="K136" s="9">
        <f>(1900616+190061)*0.6</f>
        <v>1254406.2</v>
      </c>
      <c r="L136" s="9">
        <v>0</v>
      </c>
      <c r="M136" s="9">
        <v>0</v>
      </c>
      <c r="N136" s="9">
        <v>0</v>
      </c>
      <c r="O136" s="14">
        <f>SUM(J136:N136)</f>
        <v>2717880</v>
      </c>
      <c r="P136" s="12">
        <f>G136-H136-I136-O136</f>
        <v>0</v>
      </c>
    </row>
    <row r="137" spans="1:16" s="10" customFormat="1" ht="12.75" customHeight="1" hidden="1">
      <c r="A137" s="99"/>
      <c r="B137" s="99"/>
      <c r="C137" s="105"/>
      <c r="D137" s="96"/>
      <c r="E137" s="96"/>
      <c r="F137" s="3" t="s">
        <v>38</v>
      </c>
      <c r="G137" s="11">
        <f>J137+K137</f>
        <v>996556</v>
      </c>
      <c r="H137" s="9">
        <v>0</v>
      </c>
      <c r="I137" s="9">
        <v>0</v>
      </c>
      <c r="J137" s="11">
        <f>(2217385+221738)*0.22</f>
        <v>536607.06</v>
      </c>
      <c r="K137" s="9">
        <f>(1900616+190061)*0.22</f>
        <v>459948.94</v>
      </c>
      <c r="L137" s="9"/>
      <c r="M137" s="9"/>
      <c r="N137" s="9"/>
      <c r="O137" s="14">
        <f>SUM(J137:N137)</f>
        <v>996556</v>
      </c>
      <c r="P137" s="12">
        <f>G137-H137-I137-O137</f>
        <v>0</v>
      </c>
    </row>
    <row r="138" spans="1:16" s="10" customFormat="1" ht="30" customHeight="1">
      <c r="A138" s="97">
        <v>24</v>
      </c>
      <c r="B138" s="77">
        <v>30</v>
      </c>
      <c r="C138" s="82" t="s">
        <v>109</v>
      </c>
      <c r="D138" s="79">
        <v>2009</v>
      </c>
      <c r="E138" s="79">
        <v>2010</v>
      </c>
      <c r="F138" s="23" t="s">
        <v>110</v>
      </c>
      <c r="G138" s="11">
        <f>SUBTOTAL(9,G139:G141)</f>
        <v>4695657</v>
      </c>
      <c r="H138" s="11">
        <f>SUBTOTAL(9,H139:H141)</f>
        <v>0</v>
      </c>
      <c r="I138" s="11">
        <f aca="true" t="shared" si="41" ref="I138:P138">SUBTOTAL(9,I139:I141)</f>
        <v>0</v>
      </c>
      <c r="J138" s="11">
        <f t="shared" si="41"/>
        <v>2528430.48</v>
      </c>
      <c r="K138" s="11">
        <f t="shared" si="41"/>
        <v>2167226.52</v>
      </c>
      <c r="L138" s="11">
        <f t="shared" si="41"/>
        <v>0</v>
      </c>
      <c r="M138" s="11">
        <f t="shared" si="41"/>
        <v>0</v>
      </c>
      <c r="N138" s="11">
        <f t="shared" si="41"/>
        <v>0</v>
      </c>
      <c r="O138" s="11">
        <f t="shared" si="41"/>
        <v>4695657</v>
      </c>
      <c r="P138" s="11">
        <f t="shared" si="41"/>
        <v>0</v>
      </c>
    </row>
    <row r="139" spans="1:16" s="10" customFormat="1" ht="12.75" customHeight="1" hidden="1">
      <c r="A139" s="98"/>
      <c r="B139" s="73"/>
      <c r="C139" s="80"/>
      <c r="D139" s="75"/>
      <c r="E139" s="75"/>
      <c r="F139" s="23" t="s">
        <v>8</v>
      </c>
      <c r="G139" s="11">
        <f>J139+K139</f>
        <v>1539559.6</v>
      </c>
      <c r="H139" s="9">
        <v>0</v>
      </c>
      <c r="I139" s="9">
        <v>0</v>
      </c>
      <c r="J139" s="11">
        <f>(1884077+188407)*0.4</f>
        <v>828993.6000000001</v>
      </c>
      <c r="K139" s="9">
        <f>(1614923+161492)*0.4</f>
        <v>710566</v>
      </c>
      <c r="L139" s="9">
        <v>0</v>
      </c>
      <c r="M139" s="9">
        <v>0</v>
      </c>
      <c r="N139" s="9">
        <v>0</v>
      </c>
      <c r="O139" s="14">
        <f>SUM(J139:N139)</f>
        <v>1539559.6</v>
      </c>
      <c r="P139" s="12">
        <f>G139-H139-I139-O139</f>
        <v>0</v>
      </c>
    </row>
    <row r="140" spans="1:16" s="10" customFormat="1" ht="12.75" customHeight="1" hidden="1">
      <c r="A140" s="98"/>
      <c r="B140" s="73"/>
      <c r="C140" s="80"/>
      <c r="D140" s="75"/>
      <c r="E140" s="75"/>
      <c r="F140" s="3" t="s">
        <v>10</v>
      </c>
      <c r="G140" s="11">
        <f>J140+K140</f>
        <v>2309339.4</v>
      </c>
      <c r="H140" s="9">
        <v>0</v>
      </c>
      <c r="I140" s="9">
        <v>0</v>
      </c>
      <c r="J140" s="11">
        <f>(1884077+188407)*0.6</f>
        <v>1243490.4</v>
      </c>
      <c r="K140" s="9">
        <f>(1614923+161492)*0.6</f>
        <v>1065849</v>
      </c>
      <c r="L140" s="9">
        <v>0</v>
      </c>
      <c r="M140" s="9">
        <v>0</v>
      </c>
      <c r="N140" s="9">
        <v>0</v>
      </c>
      <c r="O140" s="14">
        <f>SUM(J140:N140)</f>
        <v>2309339.4</v>
      </c>
      <c r="P140" s="12">
        <f>G140-H140-I140-O140</f>
        <v>0</v>
      </c>
    </row>
    <row r="141" spans="1:16" s="10" customFormat="1" ht="12.75" customHeight="1" hidden="1">
      <c r="A141" s="99"/>
      <c r="B141" s="74"/>
      <c r="C141" s="81"/>
      <c r="D141" s="76"/>
      <c r="E141" s="76"/>
      <c r="F141" s="3" t="s">
        <v>38</v>
      </c>
      <c r="G141" s="11">
        <f>J141+K141</f>
        <v>846758</v>
      </c>
      <c r="H141" s="9">
        <v>0</v>
      </c>
      <c r="I141" s="9">
        <v>0</v>
      </c>
      <c r="J141" s="11">
        <f>(1884077+188407)*0.22</f>
        <v>455946.48</v>
      </c>
      <c r="K141" s="9">
        <f>(1614923+161493)*0.22</f>
        <v>390811.52</v>
      </c>
      <c r="L141" s="9"/>
      <c r="M141" s="9"/>
      <c r="N141" s="9"/>
      <c r="O141" s="14">
        <f>SUM(J141:N141)</f>
        <v>846758</v>
      </c>
      <c r="P141" s="12">
        <f>G141-H141-I141-O141</f>
        <v>0</v>
      </c>
    </row>
    <row r="142" spans="1:16" s="10" customFormat="1" ht="49.5" customHeight="1">
      <c r="A142" s="97">
        <v>16</v>
      </c>
      <c r="B142" s="97">
        <v>31</v>
      </c>
      <c r="C142" s="103" t="s">
        <v>74</v>
      </c>
      <c r="D142" s="94">
        <v>2009</v>
      </c>
      <c r="E142" s="94">
        <v>2010</v>
      </c>
      <c r="F142" s="23" t="s">
        <v>110</v>
      </c>
      <c r="G142" s="11">
        <f aca="true" t="shared" si="42" ref="G142:P142">SUBTOTAL(9,G143:G145)</f>
        <v>12213540.38</v>
      </c>
      <c r="H142" s="11">
        <f t="shared" si="42"/>
        <v>0</v>
      </c>
      <c r="I142" s="11">
        <f t="shared" si="42"/>
        <v>0</v>
      </c>
      <c r="J142" s="11">
        <f t="shared" si="42"/>
        <v>4749710.1</v>
      </c>
      <c r="K142" s="11">
        <f t="shared" si="42"/>
        <v>7463830.279999999</v>
      </c>
      <c r="L142" s="11">
        <f t="shared" si="42"/>
        <v>0</v>
      </c>
      <c r="M142" s="11">
        <f t="shared" si="42"/>
        <v>0</v>
      </c>
      <c r="N142" s="11">
        <f t="shared" si="42"/>
        <v>0</v>
      </c>
      <c r="O142" s="11">
        <f t="shared" si="42"/>
        <v>12213540.38</v>
      </c>
      <c r="P142" s="11">
        <f t="shared" si="42"/>
        <v>0</v>
      </c>
    </row>
    <row r="143" spans="1:16" s="10" customFormat="1" ht="12.75" customHeight="1" hidden="1">
      <c r="A143" s="98"/>
      <c r="B143" s="98"/>
      <c r="C143" s="104"/>
      <c r="D143" s="95"/>
      <c r="E143" s="95"/>
      <c r="F143" s="23" t="s">
        <v>8</v>
      </c>
      <c r="G143" s="11">
        <f>J143+K143</f>
        <v>4004439.2</v>
      </c>
      <c r="H143" s="9">
        <v>0</v>
      </c>
      <c r="I143" s="9">
        <v>0</v>
      </c>
      <c r="J143" s="11">
        <f>(3539278+353927)*0.4</f>
        <v>1557282</v>
      </c>
      <c r="K143" s="11">
        <f>(5561722+556171)*0.4</f>
        <v>2447157.2</v>
      </c>
      <c r="L143" s="9">
        <v>0</v>
      </c>
      <c r="M143" s="9">
        <v>0</v>
      </c>
      <c r="N143" s="9">
        <v>0</v>
      </c>
      <c r="O143" s="14">
        <f>SUM(J143:N143)</f>
        <v>4004439.2</v>
      </c>
      <c r="P143" s="12">
        <f>G143-H143-I143-O143</f>
        <v>0</v>
      </c>
    </row>
    <row r="144" spans="1:16" s="10" customFormat="1" ht="12.75" customHeight="1" hidden="1">
      <c r="A144" s="98"/>
      <c r="B144" s="98"/>
      <c r="C144" s="104"/>
      <c r="D144" s="95"/>
      <c r="E144" s="95"/>
      <c r="F144" s="3" t="s">
        <v>10</v>
      </c>
      <c r="G144" s="11">
        <f>J144+K144</f>
        <v>6006659.4</v>
      </c>
      <c r="H144" s="9">
        <v>0</v>
      </c>
      <c r="I144" s="9">
        <v>0</v>
      </c>
      <c r="J144" s="11">
        <f>(3539278+353927)*0.6</f>
        <v>2335923</v>
      </c>
      <c r="K144" s="11">
        <f>(5561722+556172)*0.6</f>
        <v>3670736.4</v>
      </c>
      <c r="L144" s="9">
        <v>0</v>
      </c>
      <c r="M144" s="9">
        <v>0</v>
      </c>
      <c r="N144" s="9">
        <v>0</v>
      </c>
      <c r="O144" s="14">
        <f>SUM(J144:N144)</f>
        <v>6006659.4</v>
      </c>
      <c r="P144" s="12">
        <f>G144-H144-I144-O144</f>
        <v>0</v>
      </c>
    </row>
    <row r="145" spans="1:16" s="10" customFormat="1" ht="12.75" customHeight="1" hidden="1">
      <c r="A145" s="99"/>
      <c r="B145" s="99"/>
      <c r="C145" s="105"/>
      <c r="D145" s="96"/>
      <c r="E145" s="96"/>
      <c r="F145" s="3" t="s">
        <v>38</v>
      </c>
      <c r="G145" s="11">
        <f>J145+K145</f>
        <v>2202441.78</v>
      </c>
      <c r="H145" s="9">
        <v>0</v>
      </c>
      <c r="I145" s="9">
        <v>0</v>
      </c>
      <c r="J145" s="11">
        <f>(3539278+353927)*0.22</f>
        <v>856505.1</v>
      </c>
      <c r="K145" s="11">
        <f>(5561722+556172)*0.22</f>
        <v>1345936.68</v>
      </c>
      <c r="L145" s="9">
        <v>0</v>
      </c>
      <c r="M145" s="9">
        <v>0</v>
      </c>
      <c r="N145" s="9">
        <v>0</v>
      </c>
      <c r="O145" s="14">
        <f>SUM(J145:N145)</f>
        <v>2202441.78</v>
      </c>
      <c r="P145" s="12">
        <f>G145-H145-I145-O145</f>
        <v>0</v>
      </c>
    </row>
    <row r="146" spans="1:16" s="10" customFormat="1" ht="30" customHeight="1">
      <c r="A146" s="97">
        <v>26</v>
      </c>
      <c r="B146" s="97">
        <v>32</v>
      </c>
      <c r="C146" s="100" t="s">
        <v>57</v>
      </c>
      <c r="D146" s="94">
        <v>2009</v>
      </c>
      <c r="E146" s="94">
        <v>2010</v>
      </c>
      <c r="F146" s="23" t="s">
        <v>110</v>
      </c>
      <c r="G146" s="11">
        <f>SUBTOTAL(9,G147:G149)</f>
        <v>3177400</v>
      </c>
      <c r="H146" s="11">
        <f>SUBTOTAL(9,H147:H149)</f>
        <v>0</v>
      </c>
      <c r="I146" s="11">
        <f aca="true" t="shared" si="43" ref="I146:P146">SUBTOTAL(9,I147:I149)</f>
        <v>0</v>
      </c>
      <c r="J146" s="11">
        <f t="shared" si="43"/>
        <v>2439300</v>
      </c>
      <c r="K146" s="11">
        <f t="shared" si="43"/>
        <v>738100</v>
      </c>
      <c r="L146" s="11">
        <f t="shared" si="43"/>
        <v>0</v>
      </c>
      <c r="M146" s="11">
        <f t="shared" si="43"/>
        <v>0</v>
      </c>
      <c r="N146" s="11">
        <f t="shared" si="43"/>
        <v>0</v>
      </c>
      <c r="O146" s="11">
        <f t="shared" si="43"/>
        <v>3177400</v>
      </c>
      <c r="P146" s="11">
        <f t="shared" si="43"/>
        <v>0</v>
      </c>
    </row>
    <row r="147" spans="1:16" s="10" customFormat="1" ht="12.75" customHeight="1" hidden="1">
      <c r="A147" s="98"/>
      <c r="B147" s="98"/>
      <c r="C147" s="101"/>
      <c r="D147" s="95"/>
      <c r="E147" s="95"/>
      <c r="F147" s="23" t="s">
        <v>8</v>
      </c>
      <c r="G147" s="9">
        <f>J147+K147</f>
        <v>1058000</v>
      </c>
      <c r="H147" s="9">
        <v>0</v>
      </c>
      <c r="I147" s="9">
        <v>0</v>
      </c>
      <c r="J147" s="11">
        <f>((1650000+165000)+225000)*0.4</f>
        <v>816000</v>
      </c>
      <c r="K147" s="11">
        <f>(550000+55000)*0.4</f>
        <v>242000</v>
      </c>
      <c r="L147" s="9">
        <v>0</v>
      </c>
      <c r="M147" s="9">
        <v>0</v>
      </c>
      <c r="N147" s="9">
        <v>0</v>
      </c>
      <c r="O147" s="14">
        <f>SUM(J147:N147)</f>
        <v>1058000</v>
      </c>
      <c r="P147" s="12">
        <f>G147-H147-I147-O147</f>
        <v>0</v>
      </c>
    </row>
    <row r="148" spans="1:16" s="10" customFormat="1" ht="12.75" customHeight="1" hidden="1">
      <c r="A148" s="98"/>
      <c r="B148" s="98"/>
      <c r="C148" s="101"/>
      <c r="D148" s="95"/>
      <c r="E148" s="95"/>
      <c r="F148" s="3" t="s">
        <v>10</v>
      </c>
      <c r="G148" s="9">
        <f>J148+K148</f>
        <v>1587000</v>
      </c>
      <c r="H148" s="9">
        <v>0</v>
      </c>
      <c r="I148" s="9">
        <v>0</v>
      </c>
      <c r="J148" s="11">
        <f>((1650000+165000)+225000)*0.6</f>
        <v>1224000</v>
      </c>
      <c r="K148" s="11">
        <f>(550000+55000)*0.6</f>
        <v>363000</v>
      </c>
      <c r="L148" s="9">
        <v>0</v>
      </c>
      <c r="M148" s="9">
        <v>0</v>
      </c>
      <c r="N148" s="9">
        <v>0</v>
      </c>
      <c r="O148" s="14">
        <f>SUM(J148:N148)</f>
        <v>1587000</v>
      </c>
      <c r="P148" s="12">
        <f>G148-H148-I148-O148</f>
        <v>0</v>
      </c>
    </row>
    <row r="149" spans="1:16" s="10" customFormat="1" ht="12.75" customHeight="1" hidden="1">
      <c r="A149" s="99"/>
      <c r="B149" s="99"/>
      <c r="C149" s="102"/>
      <c r="D149" s="96"/>
      <c r="E149" s="96"/>
      <c r="F149" s="3" t="s">
        <v>38</v>
      </c>
      <c r="G149" s="9">
        <f>J149+K149</f>
        <v>532400</v>
      </c>
      <c r="H149" s="9">
        <v>0</v>
      </c>
      <c r="I149" s="9">
        <v>0</v>
      </c>
      <c r="J149" s="11">
        <f>(1650000+165000)*0.22</f>
        <v>399300</v>
      </c>
      <c r="K149" s="11">
        <f>(550000+55000)*0.22</f>
        <v>133100</v>
      </c>
      <c r="L149" s="9">
        <v>0</v>
      </c>
      <c r="M149" s="9">
        <v>0</v>
      </c>
      <c r="N149" s="9">
        <v>0</v>
      </c>
      <c r="O149" s="14">
        <f>SUM(J149:N149)</f>
        <v>532400</v>
      </c>
      <c r="P149" s="12">
        <f>G149-H149-I149-O149</f>
        <v>0</v>
      </c>
    </row>
    <row r="150" spans="1:16" s="10" customFormat="1" ht="60" customHeight="1">
      <c r="A150" s="97">
        <v>29</v>
      </c>
      <c r="B150" s="97">
        <v>33</v>
      </c>
      <c r="C150" s="103" t="s">
        <v>76</v>
      </c>
      <c r="D150" s="94">
        <v>2009</v>
      </c>
      <c r="E150" s="94">
        <v>2010</v>
      </c>
      <c r="F150" s="23" t="s">
        <v>110</v>
      </c>
      <c r="G150" s="11">
        <f>SUBTOTAL(9,G151:G153)</f>
        <v>11115784.8</v>
      </c>
      <c r="H150" s="11">
        <f>SUBTOTAL(9,H151:H153)</f>
        <v>0</v>
      </c>
      <c r="I150" s="11">
        <f aca="true" t="shared" si="44" ref="I150:P150">SUBTOTAL(9,I151:I153)</f>
        <v>0</v>
      </c>
      <c r="J150" s="11">
        <f t="shared" si="44"/>
        <v>4322805.26</v>
      </c>
      <c r="K150" s="11">
        <f t="shared" si="44"/>
        <v>6792979.540000001</v>
      </c>
      <c r="L150" s="11">
        <f t="shared" si="44"/>
        <v>0</v>
      </c>
      <c r="M150" s="11">
        <f t="shared" si="44"/>
        <v>0</v>
      </c>
      <c r="N150" s="11">
        <f t="shared" si="44"/>
        <v>0</v>
      </c>
      <c r="O150" s="11">
        <f t="shared" si="44"/>
        <v>11115784.8</v>
      </c>
      <c r="P150" s="11">
        <f t="shared" si="44"/>
        <v>0</v>
      </c>
    </row>
    <row r="151" spans="1:16" s="10" customFormat="1" ht="13.5" customHeight="1" hidden="1">
      <c r="A151" s="98"/>
      <c r="B151" s="98"/>
      <c r="C151" s="104"/>
      <c r="D151" s="95"/>
      <c r="E151" s="95"/>
      <c r="F151" s="23" t="s">
        <v>8</v>
      </c>
      <c r="G151" s="13">
        <f>J151+K151</f>
        <v>3644520.0000000005</v>
      </c>
      <c r="H151" s="9">
        <v>0</v>
      </c>
      <c r="I151" s="9">
        <v>0</v>
      </c>
      <c r="J151" s="11">
        <f>(3221167+322116)*0.4</f>
        <v>1417313.2000000002</v>
      </c>
      <c r="K151" s="13">
        <f>(5061833+506184)*0.4</f>
        <v>2227206.8000000003</v>
      </c>
      <c r="L151" s="9">
        <v>0</v>
      </c>
      <c r="M151" s="9">
        <v>0</v>
      </c>
      <c r="N151" s="9">
        <v>0</v>
      </c>
      <c r="O151" s="14">
        <f>SUM(J151:N151)</f>
        <v>3644520.0000000005</v>
      </c>
      <c r="P151" s="12">
        <f>G151-H151-I151-O151</f>
        <v>0</v>
      </c>
    </row>
    <row r="152" spans="1:16" s="10" customFormat="1" ht="13.5" customHeight="1" hidden="1">
      <c r="A152" s="98"/>
      <c r="B152" s="98"/>
      <c r="C152" s="104"/>
      <c r="D152" s="95"/>
      <c r="E152" s="95"/>
      <c r="F152" s="3" t="s">
        <v>10</v>
      </c>
      <c r="G152" s="13">
        <f>J152+K152</f>
        <v>5466778.8</v>
      </c>
      <c r="H152" s="9">
        <v>0</v>
      </c>
      <c r="I152" s="9">
        <v>0</v>
      </c>
      <c r="J152" s="11">
        <f>(3221167+322116)*0.6</f>
        <v>2125969.8</v>
      </c>
      <c r="K152" s="13">
        <f>(5061833+506182)*0.6</f>
        <v>3340809</v>
      </c>
      <c r="L152" s="9">
        <v>0</v>
      </c>
      <c r="M152" s="9">
        <v>0</v>
      </c>
      <c r="N152" s="9">
        <v>0</v>
      </c>
      <c r="O152" s="14">
        <f>SUM(J152:N152)</f>
        <v>5466778.8</v>
      </c>
      <c r="P152" s="12">
        <f>G152-H152-I152-O152</f>
        <v>0</v>
      </c>
    </row>
    <row r="153" spans="1:16" s="10" customFormat="1" ht="13.5" customHeight="1" hidden="1">
      <c r="A153" s="99"/>
      <c r="B153" s="99"/>
      <c r="C153" s="105"/>
      <c r="D153" s="96"/>
      <c r="E153" s="96"/>
      <c r="F153" s="3" t="s">
        <v>38</v>
      </c>
      <c r="G153" s="13">
        <f>J153+K153</f>
        <v>2004486</v>
      </c>
      <c r="H153" s="9">
        <v>0</v>
      </c>
      <c r="I153" s="9">
        <v>0</v>
      </c>
      <c r="J153" s="11">
        <f>(3221167+322116)*0.22</f>
        <v>779522.26</v>
      </c>
      <c r="K153" s="13">
        <f>(5061833+506184)*0.22</f>
        <v>1224963.74</v>
      </c>
      <c r="L153" s="9">
        <v>0</v>
      </c>
      <c r="M153" s="9">
        <v>0</v>
      </c>
      <c r="N153" s="9">
        <v>0</v>
      </c>
      <c r="O153" s="14">
        <f>SUM(J153:N153)</f>
        <v>2004486</v>
      </c>
      <c r="P153" s="12">
        <f>G153-H153-I153-O153</f>
        <v>0</v>
      </c>
    </row>
    <row r="154" spans="1:16" s="10" customFormat="1" ht="60" customHeight="1">
      <c r="A154" s="97">
        <v>32</v>
      </c>
      <c r="B154" s="97">
        <v>34</v>
      </c>
      <c r="C154" s="103" t="s">
        <v>81</v>
      </c>
      <c r="D154" s="94">
        <v>2009</v>
      </c>
      <c r="E154" s="94">
        <v>2010</v>
      </c>
      <c r="F154" s="23" t="s">
        <v>110</v>
      </c>
      <c r="G154" s="11">
        <f>SUBTOTAL(9,G155:G157)</f>
        <v>12710080.780000001</v>
      </c>
      <c r="H154" s="11">
        <f>SUBTOTAL(9,H155:H157)</f>
        <v>0</v>
      </c>
      <c r="I154" s="11">
        <f aca="true" t="shared" si="45" ref="I154:P154">SUBTOTAL(9,I155:I157)</f>
        <v>0</v>
      </c>
      <c r="J154" s="11">
        <f t="shared" si="45"/>
        <v>4942808.04</v>
      </c>
      <c r="K154" s="11">
        <f t="shared" si="45"/>
        <v>7767272.74</v>
      </c>
      <c r="L154" s="11">
        <f t="shared" si="45"/>
        <v>0</v>
      </c>
      <c r="M154" s="11">
        <f t="shared" si="45"/>
        <v>0</v>
      </c>
      <c r="N154" s="11">
        <f t="shared" si="45"/>
        <v>0</v>
      </c>
      <c r="O154" s="11">
        <f t="shared" si="45"/>
        <v>12710080.780000001</v>
      </c>
      <c r="P154" s="11">
        <f t="shared" si="45"/>
        <v>0</v>
      </c>
    </row>
    <row r="155" spans="1:16" s="10" customFormat="1" ht="15" customHeight="1" hidden="1">
      <c r="A155" s="98"/>
      <c r="B155" s="98"/>
      <c r="C155" s="104"/>
      <c r="D155" s="95"/>
      <c r="E155" s="95"/>
      <c r="F155" s="23" t="s">
        <v>8</v>
      </c>
      <c r="G155" s="13">
        <f>J155+K155</f>
        <v>4167239.6000000006</v>
      </c>
      <c r="H155" s="9">
        <v>0</v>
      </c>
      <c r="I155" s="9">
        <v>0</v>
      </c>
      <c r="J155" s="13">
        <f>(3683166+368316)*0.4</f>
        <v>1620592.8</v>
      </c>
      <c r="K155" s="13">
        <f>(5787834+578783)*0.4</f>
        <v>2546646.8000000003</v>
      </c>
      <c r="L155" s="13"/>
      <c r="M155" s="9">
        <v>0</v>
      </c>
      <c r="N155" s="9">
        <v>0</v>
      </c>
      <c r="O155" s="14">
        <f>SUM(J155:N155)</f>
        <v>4167239.6000000006</v>
      </c>
      <c r="P155" s="12">
        <f>G155-H155-I155-O155</f>
        <v>0</v>
      </c>
    </row>
    <row r="156" spans="1:16" s="10" customFormat="1" ht="15" customHeight="1" hidden="1">
      <c r="A156" s="98"/>
      <c r="B156" s="98"/>
      <c r="C156" s="104"/>
      <c r="D156" s="95"/>
      <c r="E156" s="95"/>
      <c r="F156" s="3" t="s">
        <v>10</v>
      </c>
      <c r="G156" s="13">
        <f>J156+K156</f>
        <v>6250859.399999999</v>
      </c>
      <c r="H156" s="9">
        <v>0</v>
      </c>
      <c r="I156" s="9">
        <v>0</v>
      </c>
      <c r="J156" s="13">
        <f>(3683166+368316)*0.6</f>
        <v>2430889.1999999997</v>
      </c>
      <c r="K156" s="13">
        <f>(5787834+578783)*0.6</f>
        <v>3819970.1999999997</v>
      </c>
      <c r="L156" s="9"/>
      <c r="M156" s="9">
        <v>0</v>
      </c>
      <c r="N156" s="9">
        <v>0</v>
      </c>
      <c r="O156" s="14">
        <f>SUM(J156:N156)</f>
        <v>6250859.399999999</v>
      </c>
      <c r="P156" s="12">
        <f>G156-H156-I156-O156</f>
        <v>0</v>
      </c>
    </row>
    <row r="157" spans="1:16" s="10" customFormat="1" ht="15" customHeight="1" hidden="1">
      <c r="A157" s="99"/>
      <c r="B157" s="99"/>
      <c r="C157" s="105"/>
      <c r="D157" s="96"/>
      <c r="E157" s="96"/>
      <c r="F157" s="3" t="s">
        <v>38</v>
      </c>
      <c r="G157" s="13">
        <f>J157+K157</f>
        <v>2291981.7800000003</v>
      </c>
      <c r="H157" s="9">
        <v>0</v>
      </c>
      <c r="I157" s="9">
        <v>0</v>
      </c>
      <c r="J157" s="13">
        <f>(3683166+368316)*0.22</f>
        <v>891326.04</v>
      </c>
      <c r="K157" s="13">
        <f>(5787834+578783)*0.22</f>
        <v>1400655.74</v>
      </c>
      <c r="L157" s="9"/>
      <c r="M157" s="9">
        <v>0</v>
      </c>
      <c r="N157" s="9">
        <v>0</v>
      </c>
      <c r="O157" s="14">
        <f>SUM(J157:N157)</f>
        <v>2291981.7800000003</v>
      </c>
      <c r="P157" s="12">
        <f>G157-H157-I157-O157</f>
        <v>0</v>
      </c>
    </row>
    <row r="158" spans="1:16" s="10" customFormat="1" ht="39.75" customHeight="1">
      <c r="A158" s="97">
        <v>30</v>
      </c>
      <c r="B158" s="97">
        <v>35</v>
      </c>
      <c r="C158" s="103" t="s">
        <v>80</v>
      </c>
      <c r="D158" s="94">
        <v>2010</v>
      </c>
      <c r="E158" s="94">
        <v>2010</v>
      </c>
      <c r="F158" s="23" t="s">
        <v>110</v>
      </c>
      <c r="G158" s="11">
        <f>SUBTOTAL(9,G159:G161)</f>
        <v>2684000</v>
      </c>
      <c r="H158" s="11">
        <f>SUBTOTAL(9,H159:H161)</f>
        <v>0</v>
      </c>
      <c r="I158" s="11">
        <f aca="true" t="shared" si="46" ref="I158:P158">SUBTOTAL(9,I159:I161)</f>
        <v>0</v>
      </c>
      <c r="J158" s="11">
        <f t="shared" si="46"/>
        <v>0</v>
      </c>
      <c r="K158" s="11">
        <f t="shared" si="46"/>
        <v>2684000</v>
      </c>
      <c r="L158" s="11">
        <f t="shared" si="46"/>
        <v>0</v>
      </c>
      <c r="M158" s="11">
        <f t="shared" si="46"/>
        <v>0</v>
      </c>
      <c r="N158" s="11">
        <f t="shared" si="46"/>
        <v>0</v>
      </c>
      <c r="O158" s="11">
        <f t="shared" si="46"/>
        <v>2684000</v>
      </c>
      <c r="P158" s="11">
        <f t="shared" si="46"/>
        <v>0</v>
      </c>
    </row>
    <row r="159" spans="1:16" s="10" customFormat="1" ht="12.75" customHeight="1" hidden="1">
      <c r="A159" s="98"/>
      <c r="B159" s="98"/>
      <c r="C159" s="104"/>
      <c r="D159" s="95"/>
      <c r="E159" s="95"/>
      <c r="F159" s="23" t="s">
        <v>8</v>
      </c>
      <c r="G159" s="11">
        <f>K159</f>
        <v>880000</v>
      </c>
      <c r="H159" s="9">
        <v>0</v>
      </c>
      <c r="I159" s="9">
        <v>0</v>
      </c>
      <c r="J159" s="13">
        <v>0</v>
      </c>
      <c r="K159" s="13">
        <f>(2000000+200000)*0.4</f>
        <v>880000</v>
      </c>
      <c r="L159" s="9">
        <v>0</v>
      </c>
      <c r="M159" s="9">
        <v>0</v>
      </c>
      <c r="N159" s="9">
        <v>0</v>
      </c>
      <c r="O159" s="14">
        <f>SUM(J159:N159)</f>
        <v>880000</v>
      </c>
      <c r="P159" s="12">
        <f>G159-H159-I159-O159</f>
        <v>0</v>
      </c>
    </row>
    <row r="160" spans="1:16" s="10" customFormat="1" ht="12.75" customHeight="1" hidden="1">
      <c r="A160" s="98"/>
      <c r="B160" s="98"/>
      <c r="C160" s="104"/>
      <c r="D160" s="95"/>
      <c r="E160" s="95"/>
      <c r="F160" s="3" t="s">
        <v>10</v>
      </c>
      <c r="G160" s="11">
        <f>K160</f>
        <v>1320000</v>
      </c>
      <c r="H160" s="9">
        <v>0</v>
      </c>
      <c r="I160" s="9">
        <v>0</v>
      </c>
      <c r="J160" s="13">
        <v>0</v>
      </c>
      <c r="K160" s="13">
        <f>(2000000+200000)*0.6</f>
        <v>1320000</v>
      </c>
      <c r="L160" s="9">
        <v>0</v>
      </c>
      <c r="M160" s="9">
        <v>0</v>
      </c>
      <c r="N160" s="9">
        <v>0</v>
      </c>
      <c r="O160" s="14">
        <f>SUM(J160:N160)</f>
        <v>1320000</v>
      </c>
      <c r="P160" s="12">
        <f>G160-H160-I160-O160</f>
        <v>0</v>
      </c>
    </row>
    <row r="161" spans="1:16" s="10" customFormat="1" ht="14.25" customHeight="1" hidden="1">
      <c r="A161" s="99"/>
      <c r="B161" s="99"/>
      <c r="C161" s="105"/>
      <c r="D161" s="96"/>
      <c r="E161" s="96"/>
      <c r="F161" s="3" t="s">
        <v>38</v>
      </c>
      <c r="G161" s="11">
        <f>K161</f>
        <v>484000</v>
      </c>
      <c r="H161" s="9">
        <v>0</v>
      </c>
      <c r="I161" s="9">
        <v>0</v>
      </c>
      <c r="J161" s="13">
        <v>0</v>
      </c>
      <c r="K161" s="13">
        <f>(2000000+200000)*0.22</f>
        <v>484000</v>
      </c>
      <c r="L161" s="9">
        <v>0</v>
      </c>
      <c r="M161" s="9">
        <v>0</v>
      </c>
      <c r="N161" s="9">
        <v>0</v>
      </c>
      <c r="O161" s="14">
        <f>SUM(J161:N161)</f>
        <v>484000</v>
      </c>
      <c r="P161" s="12">
        <f>G161-H161-I161-O161</f>
        <v>0</v>
      </c>
    </row>
    <row r="162" spans="1:16" s="10" customFormat="1" ht="49.5" customHeight="1">
      <c r="A162" s="97">
        <v>16</v>
      </c>
      <c r="B162" s="97">
        <v>36</v>
      </c>
      <c r="C162" s="103" t="s">
        <v>75</v>
      </c>
      <c r="D162" s="94">
        <v>2010</v>
      </c>
      <c r="E162" s="94">
        <v>2011</v>
      </c>
      <c r="F162" s="23" t="s">
        <v>110</v>
      </c>
      <c r="G162" s="11">
        <f aca="true" t="shared" si="47" ref="G162:P162">SUBTOTAL(9,G163:G165)</f>
        <v>6395970.38</v>
      </c>
      <c r="H162" s="11">
        <f t="shared" si="47"/>
        <v>0</v>
      </c>
      <c r="I162" s="11">
        <f t="shared" si="47"/>
        <v>0</v>
      </c>
      <c r="J162" s="11">
        <f t="shared" si="47"/>
        <v>0</v>
      </c>
      <c r="K162" s="11">
        <f t="shared" si="47"/>
        <v>3908649.0199999996</v>
      </c>
      <c r="L162" s="11">
        <f t="shared" si="47"/>
        <v>2487321.36</v>
      </c>
      <c r="M162" s="11">
        <f t="shared" si="47"/>
        <v>0</v>
      </c>
      <c r="N162" s="11">
        <f t="shared" si="47"/>
        <v>0</v>
      </c>
      <c r="O162" s="11">
        <f t="shared" si="47"/>
        <v>6395970.38</v>
      </c>
      <c r="P162" s="11">
        <f t="shared" si="47"/>
        <v>0</v>
      </c>
    </row>
    <row r="163" spans="1:16" s="10" customFormat="1" ht="12.75" customHeight="1" hidden="1">
      <c r="A163" s="98"/>
      <c r="B163" s="98"/>
      <c r="C163" s="104"/>
      <c r="D163" s="95"/>
      <c r="E163" s="95"/>
      <c r="F163" s="23" t="s">
        <v>8</v>
      </c>
      <c r="G163" s="11">
        <f>K163+L163</f>
        <v>2097039.2000000002</v>
      </c>
      <c r="H163" s="9">
        <v>0</v>
      </c>
      <c r="I163" s="9">
        <v>0</v>
      </c>
      <c r="J163" s="9">
        <v>0</v>
      </c>
      <c r="K163" s="11">
        <f>(2912556+291254)*0.4</f>
        <v>1281524</v>
      </c>
      <c r="L163" s="9">
        <f>(1853444+185344)*0.4</f>
        <v>815515.2000000001</v>
      </c>
      <c r="M163" s="9">
        <v>0</v>
      </c>
      <c r="N163" s="9">
        <v>0</v>
      </c>
      <c r="O163" s="14">
        <f>SUM(J163:N163)</f>
        <v>2097039.2000000002</v>
      </c>
      <c r="P163" s="12">
        <f>G163-H163-I163-O163</f>
        <v>0</v>
      </c>
    </row>
    <row r="164" spans="1:16" s="10" customFormat="1" ht="12.75" customHeight="1" hidden="1">
      <c r="A164" s="98"/>
      <c r="B164" s="98"/>
      <c r="C164" s="104"/>
      <c r="D164" s="95"/>
      <c r="E164" s="95"/>
      <c r="F164" s="3" t="s">
        <v>10</v>
      </c>
      <c r="G164" s="11">
        <f>K164+L164</f>
        <v>3145559.4</v>
      </c>
      <c r="H164" s="9">
        <v>0</v>
      </c>
      <c r="I164" s="9">
        <v>0</v>
      </c>
      <c r="J164" s="9">
        <v>0</v>
      </c>
      <c r="K164" s="11">
        <f>(2912556+291255)*0.6</f>
        <v>1922286.5999999999</v>
      </c>
      <c r="L164" s="9">
        <f>(1853444+185344)*0.6</f>
        <v>1223272.8</v>
      </c>
      <c r="M164" s="9">
        <v>0</v>
      </c>
      <c r="N164" s="9">
        <v>0</v>
      </c>
      <c r="O164" s="14">
        <f>SUM(J164:N164)</f>
        <v>3145559.4</v>
      </c>
      <c r="P164" s="12">
        <f>G164-H164-I164-O164</f>
        <v>0</v>
      </c>
    </row>
    <row r="165" spans="1:16" s="10" customFormat="1" ht="12.75" customHeight="1" hidden="1">
      <c r="A165" s="99"/>
      <c r="B165" s="99"/>
      <c r="C165" s="105"/>
      <c r="D165" s="96"/>
      <c r="E165" s="96"/>
      <c r="F165" s="3" t="s">
        <v>38</v>
      </c>
      <c r="G165" s="11">
        <f>K165+L165</f>
        <v>1153371.78</v>
      </c>
      <c r="H165" s="9"/>
      <c r="I165" s="9">
        <v>0</v>
      </c>
      <c r="J165" s="9">
        <v>0</v>
      </c>
      <c r="K165" s="11">
        <f>(2912556+291255)*0.22</f>
        <v>704838.42</v>
      </c>
      <c r="L165" s="9">
        <f>(1853444+185344)*0.22</f>
        <v>448533.36</v>
      </c>
      <c r="M165" s="9">
        <v>0</v>
      </c>
      <c r="N165" s="9">
        <v>0</v>
      </c>
      <c r="O165" s="14">
        <f>SUM(J165:N165)</f>
        <v>1153371.78</v>
      </c>
      <c r="P165" s="12">
        <f>G165-H165-I165-O165</f>
        <v>0</v>
      </c>
    </row>
    <row r="166" spans="1:16" s="10" customFormat="1" ht="49.5" customHeight="1">
      <c r="A166" s="97">
        <v>29</v>
      </c>
      <c r="B166" s="97">
        <v>37</v>
      </c>
      <c r="C166" s="103" t="s">
        <v>77</v>
      </c>
      <c r="D166" s="94">
        <v>2010</v>
      </c>
      <c r="E166" s="94">
        <v>2011</v>
      </c>
      <c r="F166" s="23" t="s">
        <v>110</v>
      </c>
      <c r="G166" s="11">
        <f>SUBTOTAL(9,G167:G169)</f>
        <v>8309664</v>
      </c>
      <c r="H166" s="11">
        <f>SUBTOTAL(9,H167:H169)</f>
        <v>0</v>
      </c>
      <c r="I166" s="11">
        <f aca="true" t="shared" si="48" ref="I166:P166">SUBTOTAL(9,I167:I169)</f>
        <v>0</v>
      </c>
      <c r="J166" s="11">
        <f t="shared" si="48"/>
        <v>0</v>
      </c>
      <c r="K166" s="11">
        <f t="shared" si="48"/>
        <v>5078128</v>
      </c>
      <c r="L166" s="11">
        <f t="shared" si="48"/>
        <v>3231536</v>
      </c>
      <c r="M166" s="11">
        <f t="shared" si="48"/>
        <v>0</v>
      </c>
      <c r="N166" s="11">
        <f t="shared" si="48"/>
        <v>0</v>
      </c>
      <c r="O166" s="11">
        <f t="shared" si="48"/>
        <v>8309664</v>
      </c>
      <c r="P166" s="11">
        <f t="shared" si="48"/>
        <v>0</v>
      </c>
    </row>
    <row r="167" spans="1:16" s="10" customFormat="1" ht="13.5" customHeight="1" hidden="1">
      <c r="A167" s="98"/>
      <c r="B167" s="98"/>
      <c r="C167" s="104"/>
      <c r="D167" s="95"/>
      <c r="E167" s="95"/>
      <c r="F167" s="23" t="s">
        <v>8</v>
      </c>
      <c r="G167" s="13">
        <f>K167+L167</f>
        <v>2724480</v>
      </c>
      <c r="H167" s="9">
        <v>0</v>
      </c>
      <c r="I167" s="9">
        <v>0</v>
      </c>
      <c r="J167" s="9">
        <v>0</v>
      </c>
      <c r="K167" s="13">
        <f>(3784000+378400)*0.4</f>
        <v>1664960</v>
      </c>
      <c r="L167" s="9">
        <f>(2408000+240800)*0.4</f>
        <v>1059520</v>
      </c>
      <c r="M167" s="9">
        <v>0</v>
      </c>
      <c r="N167" s="9">
        <v>0</v>
      </c>
      <c r="O167" s="14">
        <f>SUM(J167:N167)</f>
        <v>2724480</v>
      </c>
      <c r="P167" s="12">
        <f>G167-H167-I167-O167</f>
        <v>0</v>
      </c>
    </row>
    <row r="168" spans="1:16" s="10" customFormat="1" ht="13.5" customHeight="1" hidden="1">
      <c r="A168" s="98"/>
      <c r="B168" s="98"/>
      <c r="C168" s="104"/>
      <c r="D168" s="95"/>
      <c r="E168" s="95"/>
      <c r="F168" s="3" t="s">
        <v>10</v>
      </c>
      <c r="G168" s="13">
        <f>K168+L168</f>
        <v>4086720</v>
      </c>
      <c r="H168" s="9">
        <v>0</v>
      </c>
      <c r="I168" s="9">
        <v>0</v>
      </c>
      <c r="J168" s="9">
        <v>0</v>
      </c>
      <c r="K168" s="13">
        <f>(3784000+378400)*0.6</f>
        <v>2497440</v>
      </c>
      <c r="L168" s="9">
        <f>(2408000+240800)*0.6</f>
        <v>1589280</v>
      </c>
      <c r="M168" s="9">
        <v>0</v>
      </c>
      <c r="N168" s="9">
        <v>0</v>
      </c>
      <c r="O168" s="14">
        <f>SUM(J168:N168)</f>
        <v>4086720</v>
      </c>
      <c r="P168" s="12">
        <f>G168-H168-I168-O168</f>
        <v>0</v>
      </c>
    </row>
    <row r="169" spans="1:16" s="10" customFormat="1" ht="13.5" customHeight="1" hidden="1">
      <c r="A169" s="99"/>
      <c r="B169" s="99"/>
      <c r="C169" s="105"/>
      <c r="D169" s="96"/>
      <c r="E169" s="96"/>
      <c r="F169" s="3" t="s">
        <v>38</v>
      </c>
      <c r="G169" s="13">
        <f>K169+L169</f>
        <v>1498464</v>
      </c>
      <c r="H169" s="9">
        <v>0</v>
      </c>
      <c r="I169" s="9">
        <v>0</v>
      </c>
      <c r="J169" s="9">
        <v>0</v>
      </c>
      <c r="K169" s="13">
        <f>(3784000+378400)*0.22</f>
        <v>915728</v>
      </c>
      <c r="L169" s="9">
        <f>(2408000+240800)*0.22</f>
        <v>582736</v>
      </c>
      <c r="M169" s="9">
        <v>0</v>
      </c>
      <c r="N169" s="9">
        <v>0</v>
      </c>
      <c r="O169" s="14">
        <f>SUM(J169:N169)</f>
        <v>1498464</v>
      </c>
      <c r="P169" s="12">
        <f>G169-H169-I169-O169</f>
        <v>0</v>
      </c>
    </row>
    <row r="170" spans="1:16" s="10" customFormat="1" ht="49.5" customHeight="1">
      <c r="A170" s="97">
        <v>23</v>
      </c>
      <c r="B170" s="97">
        <v>38</v>
      </c>
      <c r="C170" s="103" t="s">
        <v>78</v>
      </c>
      <c r="D170" s="94">
        <v>2010</v>
      </c>
      <c r="E170" s="94">
        <v>2011</v>
      </c>
      <c r="F170" s="23" t="s">
        <v>110</v>
      </c>
      <c r="G170" s="11">
        <f>SUBTOTAL(9,G171:G173)</f>
        <v>12069946.780000001</v>
      </c>
      <c r="H170" s="11">
        <f>SUBTOTAL(9,H171:H173)</f>
        <v>0</v>
      </c>
      <c r="I170" s="11">
        <f aca="true" t="shared" si="49" ref="I170:P170">SUBTOTAL(9,I171:I173)</f>
        <v>0</v>
      </c>
      <c r="J170" s="11">
        <f t="shared" si="49"/>
        <v>0</v>
      </c>
      <c r="K170" s="11">
        <f t="shared" si="49"/>
        <v>7376079.74</v>
      </c>
      <c r="L170" s="11">
        <f t="shared" si="49"/>
        <v>4693867.04</v>
      </c>
      <c r="M170" s="11">
        <f t="shared" si="49"/>
        <v>0</v>
      </c>
      <c r="N170" s="11">
        <f t="shared" si="49"/>
        <v>0</v>
      </c>
      <c r="O170" s="11">
        <f t="shared" si="49"/>
        <v>12069946.780000001</v>
      </c>
      <c r="P170" s="11">
        <f t="shared" si="49"/>
        <v>0</v>
      </c>
    </row>
    <row r="171" spans="1:16" s="10" customFormat="1" ht="12.75" customHeight="1" hidden="1">
      <c r="A171" s="98"/>
      <c r="B171" s="98"/>
      <c r="C171" s="104"/>
      <c r="D171" s="95"/>
      <c r="E171" s="95"/>
      <c r="F171" s="23" t="s">
        <v>8</v>
      </c>
      <c r="G171" s="11">
        <f>K171+L171</f>
        <v>3957359.6000000006</v>
      </c>
      <c r="H171" s="9">
        <v>0</v>
      </c>
      <c r="I171" s="9">
        <v>0</v>
      </c>
      <c r="J171" s="13">
        <v>0</v>
      </c>
      <c r="K171" s="13">
        <f>(5496334+549633)*0.4</f>
        <v>2418386.8000000003</v>
      </c>
      <c r="L171" s="13">
        <f>(3497666+349766)*0.4</f>
        <v>1538972.8</v>
      </c>
      <c r="M171" s="9">
        <v>0</v>
      </c>
      <c r="N171" s="9">
        <v>0</v>
      </c>
      <c r="O171" s="14">
        <f>SUM(J171:N171)</f>
        <v>3957359.6000000006</v>
      </c>
      <c r="P171" s="12">
        <f>G171-H171-I171-O171</f>
        <v>0</v>
      </c>
    </row>
    <row r="172" spans="1:16" s="10" customFormat="1" ht="12.75" customHeight="1" hidden="1">
      <c r="A172" s="98"/>
      <c r="B172" s="98"/>
      <c r="C172" s="104"/>
      <c r="D172" s="95"/>
      <c r="E172" s="95"/>
      <c r="F172" s="3" t="s">
        <v>10</v>
      </c>
      <c r="G172" s="11">
        <f>K172+L172</f>
        <v>5936039.399999999</v>
      </c>
      <c r="H172" s="9">
        <v>0</v>
      </c>
      <c r="I172" s="9">
        <v>0</v>
      </c>
      <c r="J172" s="9">
        <v>0</v>
      </c>
      <c r="K172" s="13">
        <f>(5496334+549633)*0.6</f>
        <v>3627580.1999999997</v>
      </c>
      <c r="L172" s="13">
        <f>(3497666+349766)*0.6</f>
        <v>2308459.1999999997</v>
      </c>
      <c r="M172" s="9">
        <v>0</v>
      </c>
      <c r="N172" s="9">
        <v>0</v>
      </c>
      <c r="O172" s="14">
        <f>SUM(J172:N172)</f>
        <v>5936039.399999999</v>
      </c>
      <c r="P172" s="12">
        <f>G172-H172-I172-O172</f>
        <v>0</v>
      </c>
    </row>
    <row r="173" spans="1:16" s="10" customFormat="1" ht="12.75" customHeight="1" hidden="1">
      <c r="A173" s="99"/>
      <c r="B173" s="99"/>
      <c r="C173" s="105"/>
      <c r="D173" s="96"/>
      <c r="E173" s="96"/>
      <c r="F173" s="3" t="s">
        <v>38</v>
      </c>
      <c r="G173" s="11">
        <f>K173+L173</f>
        <v>2176547.7800000003</v>
      </c>
      <c r="H173" s="9">
        <v>0</v>
      </c>
      <c r="I173" s="9">
        <v>0</v>
      </c>
      <c r="J173" s="9">
        <v>0</v>
      </c>
      <c r="K173" s="13">
        <f>(5496334+549633)*0.22</f>
        <v>1330112.74</v>
      </c>
      <c r="L173" s="13">
        <f>(3497666+349766)*0.22</f>
        <v>846435.04</v>
      </c>
      <c r="M173" s="9">
        <v>0</v>
      </c>
      <c r="N173" s="9">
        <v>0</v>
      </c>
      <c r="O173" s="14">
        <f>SUM(J173:N173)</f>
        <v>2176547.7800000003</v>
      </c>
      <c r="P173" s="12">
        <f>G173-H173-I173-O173</f>
        <v>0</v>
      </c>
    </row>
    <row r="174" spans="1:16" s="10" customFormat="1" ht="30" customHeight="1">
      <c r="A174" s="97">
        <v>34</v>
      </c>
      <c r="B174" s="97">
        <v>39</v>
      </c>
      <c r="C174" s="100" t="s">
        <v>55</v>
      </c>
      <c r="D174" s="94">
        <v>2010</v>
      </c>
      <c r="E174" s="94">
        <v>2011</v>
      </c>
      <c r="F174" s="23" t="s">
        <v>110</v>
      </c>
      <c r="G174" s="11">
        <f>SUBTOTAL(9,G175:G177)</f>
        <v>8808886.58</v>
      </c>
      <c r="H174" s="11">
        <f>SUBTOTAL(9,H175:H177)</f>
        <v>0</v>
      </c>
      <c r="I174" s="11">
        <f aca="true" t="shared" si="50" ref="I174:P174">SUBTOTAL(9,I175:I177)</f>
        <v>0</v>
      </c>
      <c r="J174" s="11">
        <f t="shared" si="50"/>
        <v>0</v>
      </c>
      <c r="K174" s="11">
        <f t="shared" si="50"/>
        <v>6292061.96</v>
      </c>
      <c r="L174" s="11">
        <f t="shared" si="50"/>
        <v>2516824.62</v>
      </c>
      <c r="M174" s="11">
        <f t="shared" si="50"/>
        <v>0</v>
      </c>
      <c r="N174" s="11">
        <f t="shared" si="50"/>
        <v>0</v>
      </c>
      <c r="O174" s="11">
        <f t="shared" si="50"/>
        <v>8808886.58</v>
      </c>
      <c r="P174" s="11">
        <f t="shared" si="50"/>
        <v>0</v>
      </c>
    </row>
    <row r="175" spans="1:16" s="10" customFormat="1" ht="12.75" customHeight="1" hidden="1">
      <c r="A175" s="98"/>
      <c r="B175" s="98"/>
      <c r="C175" s="101"/>
      <c r="D175" s="95"/>
      <c r="E175" s="95"/>
      <c r="F175" s="23" t="s">
        <v>8</v>
      </c>
      <c r="G175" s="13">
        <f>K175+L175</f>
        <v>2888160</v>
      </c>
      <c r="H175" s="9">
        <v>0</v>
      </c>
      <c r="I175" s="9">
        <v>0</v>
      </c>
      <c r="J175" s="9">
        <v>0</v>
      </c>
      <c r="K175" s="11">
        <f>(4688571+468858)*0.4</f>
        <v>2062971.6</v>
      </c>
      <c r="L175" s="11">
        <f>(1875429+187542)*0.4</f>
        <v>825188.4</v>
      </c>
      <c r="M175" s="9">
        <v>0</v>
      </c>
      <c r="N175" s="9">
        <v>0</v>
      </c>
      <c r="O175" s="14">
        <f>SUM(J175:N175)</f>
        <v>2888160</v>
      </c>
      <c r="P175" s="12">
        <f>G175-H175-I175-O175</f>
        <v>0</v>
      </c>
    </row>
    <row r="176" spans="1:16" s="10" customFormat="1" ht="12.75" customHeight="1" hidden="1">
      <c r="A176" s="98"/>
      <c r="B176" s="98"/>
      <c r="C176" s="101"/>
      <c r="D176" s="95"/>
      <c r="E176" s="95"/>
      <c r="F176" s="3" t="s">
        <v>10</v>
      </c>
      <c r="G176" s="13">
        <f>K176+L176</f>
        <v>4332238.8</v>
      </c>
      <c r="H176" s="9">
        <v>0</v>
      </c>
      <c r="I176" s="9">
        <v>0</v>
      </c>
      <c r="J176" s="9">
        <v>0</v>
      </c>
      <c r="K176" s="11">
        <f>(4688571+468856)*0.6</f>
        <v>3094456.1999999997</v>
      </c>
      <c r="L176" s="11">
        <f>(1875429+187542)*0.6</f>
        <v>1237782.5999999999</v>
      </c>
      <c r="M176" s="9">
        <v>0</v>
      </c>
      <c r="N176" s="9">
        <v>0</v>
      </c>
      <c r="O176" s="14">
        <f>SUM(J176:N176)</f>
        <v>4332238.8</v>
      </c>
      <c r="P176" s="12">
        <f>G176-H176-I176-O176</f>
        <v>0</v>
      </c>
    </row>
    <row r="177" spans="1:16" s="10" customFormat="1" ht="12.75" customHeight="1" hidden="1">
      <c r="A177" s="99"/>
      <c r="B177" s="99"/>
      <c r="C177" s="102"/>
      <c r="D177" s="96"/>
      <c r="E177" s="96"/>
      <c r="F177" s="3" t="s">
        <v>38</v>
      </c>
      <c r="G177" s="13">
        <f>K177+L177</f>
        <v>1588487.7799999998</v>
      </c>
      <c r="H177" s="31">
        <v>0</v>
      </c>
      <c r="I177" s="9">
        <v>0</v>
      </c>
      <c r="J177" s="9">
        <v>0</v>
      </c>
      <c r="K177" s="11">
        <f>(4688571+468857)*0.22</f>
        <v>1134634.16</v>
      </c>
      <c r="L177" s="11">
        <f>(1875429+187542)*0.22</f>
        <v>453853.62</v>
      </c>
      <c r="M177" s="9">
        <v>0</v>
      </c>
      <c r="N177" s="9">
        <v>0</v>
      </c>
      <c r="O177" s="14">
        <f>SUM(J177:N177)</f>
        <v>1588487.7799999998</v>
      </c>
      <c r="P177" s="12">
        <f>G177-H177-I177-O177</f>
        <v>0</v>
      </c>
    </row>
    <row r="178" spans="1:16" s="10" customFormat="1" ht="49.5" customHeight="1">
      <c r="A178" s="97">
        <v>23</v>
      </c>
      <c r="B178" s="97">
        <v>40</v>
      </c>
      <c r="C178" s="103" t="s">
        <v>79</v>
      </c>
      <c r="D178" s="94">
        <v>2011</v>
      </c>
      <c r="E178" s="94">
        <v>2011</v>
      </c>
      <c r="F178" s="23" t="s">
        <v>110</v>
      </c>
      <c r="G178" s="11">
        <f>SUBTOTAL(9,G179:G181)</f>
        <v>3120150</v>
      </c>
      <c r="H178" s="11">
        <f>SUBTOTAL(9,H179:H181)</f>
        <v>0</v>
      </c>
      <c r="I178" s="11">
        <f aca="true" t="shared" si="51" ref="I178:P178">SUBTOTAL(9,I179:I181)</f>
        <v>0</v>
      </c>
      <c r="J178" s="11">
        <f t="shared" si="51"/>
        <v>0</v>
      </c>
      <c r="K178" s="11">
        <f t="shared" si="51"/>
        <v>0</v>
      </c>
      <c r="L178" s="11">
        <f t="shared" si="51"/>
        <v>3120150</v>
      </c>
      <c r="M178" s="11">
        <f t="shared" si="51"/>
        <v>0</v>
      </c>
      <c r="N178" s="11">
        <f t="shared" si="51"/>
        <v>0</v>
      </c>
      <c r="O178" s="11">
        <f t="shared" si="51"/>
        <v>3120150</v>
      </c>
      <c r="P178" s="11">
        <f t="shared" si="51"/>
        <v>0</v>
      </c>
    </row>
    <row r="179" spans="1:16" s="10" customFormat="1" ht="12.75" customHeight="1" hidden="1">
      <c r="A179" s="98"/>
      <c r="B179" s="98"/>
      <c r="C179" s="104"/>
      <c r="D179" s="95"/>
      <c r="E179" s="95"/>
      <c r="F179" s="23" t="s">
        <v>8</v>
      </c>
      <c r="G179" s="11">
        <f>L179</f>
        <v>1023000</v>
      </c>
      <c r="H179" s="9">
        <v>0</v>
      </c>
      <c r="I179" s="9">
        <v>0</v>
      </c>
      <c r="J179" s="13"/>
      <c r="K179" s="13"/>
      <c r="L179" s="13">
        <f>(2325000+232500)*0.4</f>
        <v>1023000</v>
      </c>
      <c r="M179" s="9">
        <v>0</v>
      </c>
      <c r="N179" s="9">
        <v>0</v>
      </c>
      <c r="O179" s="14">
        <f>SUM(J179:N179)</f>
        <v>1023000</v>
      </c>
      <c r="P179" s="12">
        <f>G179-H179-I179-O179</f>
        <v>0</v>
      </c>
    </row>
    <row r="180" spans="1:16" s="10" customFormat="1" ht="12.75" customHeight="1" hidden="1">
      <c r="A180" s="98"/>
      <c r="B180" s="98"/>
      <c r="C180" s="104"/>
      <c r="D180" s="95"/>
      <c r="E180" s="95"/>
      <c r="F180" s="3" t="s">
        <v>10</v>
      </c>
      <c r="G180" s="11">
        <f>L180</f>
        <v>1534500</v>
      </c>
      <c r="H180" s="9">
        <v>0</v>
      </c>
      <c r="I180" s="9">
        <v>0</v>
      </c>
      <c r="J180" s="9"/>
      <c r="K180" s="9"/>
      <c r="L180" s="13">
        <f>(2325000+232500)*0.6</f>
        <v>1534500</v>
      </c>
      <c r="M180" s="9">
        <v>0</v>
      </c>
      <c r="N180" s="9">
        <v>0</v>
      </c>
      <c r="O180" s="14">
        <f>SUM(J180:N180)</f>
        <v>1534500</v>
      </c>
      <c r="P180" s="12">
        <f>G180-H180-I180-O180</f>
        <v>0</v>
      </c>
    </row>
    <row r="181" spans="1:16" s="10" customFormat="1" ht="12.75" customHeight="1" hidden="1">
      <c r="A181" s="99"/>
      <c r="B181" s="99"/>
      <c r="C181" s="105"/>
      <c r="D181" s="96"/>
      <c r="E181" s="96"/>
      <c r="F181" s="3" t="s">
        <v>38</v>
      </c>
      <c r="G181" s="11">
        <f>L181</f>
        <v>562650</v>
      </c>
      <c r="H181" s="9">
        <v>0</v>
      </c>
      <c r="I181" s="9">
        <v>0</v>
      </c>
      <c r="J181" s="9"/>
      <c r="K181" s="9"/>
      <c r="L181" s="13">
        <f>(2325000+232500)*0.22</f>
        <v>562650</v>
      </c>
      <c r="M181" s="9">
        <v>0</v>
      </c>
      <c r="N181" s="9">
        <v>0</v>
      </c>
      <c r="O181" s="14">
        <f>SUM(J181:N181)</f>
        <v>562650</v>
      </c>
      <c r="P181" s="12">
        <f>G181-H181-I181-O181</f>
        <v>0</v>
      </c>
    </row>
    <row r="182" spans="1:16" s="10" customFormat="1" ht="49.5" customHeight="1">
      <c r="A182" s="97">
        <v>32</v>
      </c>
      <c r="B182" s="97">
        <v>41</v>
      </c>
      <c r="C182" s="103" t="s">
        <v>82</v>
      </c>
      <c r="D182" s="94">
        <v>2011</v>
      </c>
      <c r="E182" s="94">
        <v>2011</v>
      </c>
      <c r="F182" s="23" t="s">
        <v>110</v>
      </c>
      <c r="G182" s="11">
        <f>SUBTOTAL(9,G183:G185)</f>
        <v>3799202</v>
      </c>
      <c r="H182" s="11">
        <f>SUBTOTAL(9,H183:H185)</f>
        <v>0</v>
      </c>
      <c r="I182" s="11">
        <f aca="true" t="shared" si="52" ref="I182:P182">SUBTOTAL(9,I183:I185)</f>
        <v>0</v>
      </c>
      <c r="J182" s="11">
        <f t="shared" si="52"/>
        <v>0</v>
      </c>
      <c r="K182" s="11">
        <f t="shared" si="52"/>
        <v>0</v>
      </c>
      <c r="L182" s="11">
        <f t="shared" si="52"/>
        <v>3799202</v>
      </c>
      <c r="M182" s="11">
        <f t="shared" si="52"/>
        <v>0</v>
      </c>
      <c r="N182" s="11">
        <f t="shared" si="52"/>
        <v>0</v>
      </c>
      <c r="O182" s="11">
        <f t="shared" si="52"/>
        <v>3799202</v>
      </c>
      <c r="P182" s="11">
        <f t="shared" si="52"/>
        <v>0</v>
      </c>
    </row>
    <row r="183" spans="1:16" s="10" customFormat="1" ht="12.75" customHeight="1" hidden="1">
      <c r="A183" s="98"/>
      <c r="B183" s="98"/>
      <c r="C183" s="104"/>
      <c r="D183" s="95"/>
      <c r="E183" s="95"/>
      <c r="F183" s="23" t="s">
        <v>8</v>
      </c>
      <c r="G183" s="13">
        <f>L183</f>
        <v>1245640</v>
      </c>
      <c r="H183" s="9">
        <v>0</v>
      </c>
      <c r="I183" s="9">
        <v>0</v>
      </c>
      <c r="J183" s="9">
        <v>0</v>
      </c>
      <c r="K183" s="13">
        <v>0</v>
      </c>
      <c r="L183" s="13">
        <f>(2831000+283100)*0.4</f>
        <v>1245640</v>
      </c>
      <c r="M183" s="9">
        <v>0</v>
      </c>
      <c r="N183" s="9">
        <v>0</v>
      </c>
      <c r="O183" s="14">
        <f>SUM(J183:N183)</f>
        <v>1245640</v>
      </c>
      <c r="P183" s="12">
        <f>G183-H183-I183-O183</f>
        <v>0</v>
      </c>
    </row>
    <row r="184" spans="1:16" s="10" customFormat="1" ht="12.75" customHeight="1" hidden="1">
      <c r="A184" s="98"/>
      <c r="B184" s="98"/>
      <c r="C184" s="104"/>
      <c r="D184" s="95"/>
      <c r="E184" s="95"/>
      <c r="F184" s="3" t="s">
        <v>10</v>
      </c>
      <c r="G184" s="13">
        <f>L184</f>
        <v>1868460</v>
      </c>
      <c r="H184" s="9">
        <v>0</v>
      </c>
      <c r="I184" s="9">
        <v>0</v>
      </c>
      <c r="J184" s="9">
        <v>0</v>
      </c>
      <c r="K184" s="9">
        <v>0</v>
      </c>
      <c r="L184" s="13">
        <f>(2831000+283100)*0.6</f>
        <v>1868460</v>
      </c>
      <c r="M184" s="9">
        <v>0</v>
      </c>
      <c r="N184" s="9">
        <v>0</v>
      </c>
      <c r="O184" s="14">
        <f>SUM(J184:N184)</f>
        <v>1868460</v>
      </c>
      <c r="P184" s="12">
        <f>G184-H184-I184-O184</f>
        <v>0</v>
      </c>
    </row>
    <row r="185" spans="1:16" s="10" customFormat="1" ht="12.75" customHeight="1" hidden="1">
      <c r="A185" s="99"/>
      <c r="B185" s="99"/>
      <c r="C185" s="105"/>
      <c r="D185" s="96"/>
      <c r="E185" s="96"/>
      <c r="F185" s="3" t="s">
        <v>38</v>
      </c>
      <c r="G185" s="13">
        <f>L185</f>
        <v>685102</v>
      </c>
      <c r="H185" s="9">
        <v>0</v>
      </c>
      <c r="I185" s="9">
        <v>0</v>
      </c>
      <c r="J185" s="9">
        <v>0</v>
      </c>
      <c r="K185" s="9">
        <v>0</v>
      </c>
      <c r="L185" s="13">
        <f>(2831000+283100)*0.22</f>
        <v>685102</v>
      </c>
      <c r="M185" s="9">
        <v>0</v>
      </c>
      <c r="N185" s="9">
        <v>0</v>
      </c>
      <c r="O185" s="14">
        <f>SUM(J185:N185)</f>
        <v>685102</v>
      </c>
      <c r="P185" s="12">
        <f>G185-H185-I185-O185</f>
        <v>0</v>
      </c>
    </row>
    <row r="186" spans="1:16" s="10" customFormat="1" ht="39.75" customHeight="1">
      <c r="A186" s="97">
        <v>33</v>
      </c>
      <c r="B186" s="77">
        <v>42</v>
      </c>
      <c r="C186" s="82" t="s">
        <v>14</v>
      </c>
      <c r="D186" s="79">
        <v>2011</v>
      </c>
      <c r="E186" s="79">
        <v>2011</v>
      </c>
      <c r="F186" s="23" t="s">
        <v>110</v>
      </c>
      <c r="G186" s="11">
        <f>SUBTOTAL(9,G187:G189)</f>
        <v>3953532</v>
      </c>
      <c r="H186" s="11">
        <f>SUBTOTAL(9,H187:H189)</f>
        <v>0</v>
      </c>
      <c r="I186" s="11">
        <f aca="true" t="shared" si="53" ref="I186:P186">SUBTOTAL(9,I187:I189)</f>
        <v>0</v>
      </c>
      <c r="J186" s="11">
        <f t="shared" si="53"/>
        <v>0</v>
      </c>
      <c r="K186" s="11">
        <f t="shared" si="53"/>
        <v>0</v>
      </c>
      <c r="L186" s="11">
        <f t="shared" si="53"/>
        <v>3953532</v>
      </c>
      <c r="M186" s="11">
        <f t="shared" si="53"/>
        <v>0</v>
      </c>
      <c r="N186" s="11">
        <f t="shared" si="53"/>
        <v>0</v>
      </c>
      <c r="O186" s="11">
        <f t="shared" si="53"/>
        <v>3953532</v>
      </c>
      <c r="P186" s="11">
        <f t="shared" si="53"/>
        <v>0</v>
      </c>
    </row>
    <row r="187" spans="1:16" s="10" customFormat="1" ht="12.75" customHeight="1" hidden="1">
      <c r="A187" s="98"/>
      <c r="B187" s="73"/>
      <c r="C187" s="80"/>
      <c r="D187" s="75"/>
      <c r="E187" s="75"/>
      <c r="F187" s="23" t="s">
        <v>8</v>
      </c>
      <c r="G187" s="13">
        <v>1296240</v>
      </c>
      <c r="H187" s="9">
        <v>0</v>
      </c>
      <c r="I187" s="9">
        <v>0</v>
      </c>
      <c r="J187" s="9">
        <v>0</v>
      </c>
      <c r="K187" s="9">
        <v>0</v>
      </c>
      <c r="L187" s="9">
        <f>(2946000+294600)*0.4</f>
        <v>1296240</v>
      </c>
      <c r="M187" s="9">
        <v>0</v>
      </c>
      <c r="N187" s="9">
        <v>0</v>
      </c>
      <c r="O187" s="14">
        <f>SUM(J187:N187)</f>
        <v>1296240</v>
      </c>
      <c r="P187" s="12">
        <f>G187-H187-I187-O187</f>
        <v>0</v>
      </c>
    </row>
    <row r="188" spans="1:16" s="10" customFormat="1" ht="12.75" customHeight="1" hidden="1">
      <c r="A188" s="98"/>
      <c r="B188" s="73"/>
      <c r="C188" s="80"/>
      <c r="D188" s="75"/>
      <c r="E188" s="75"/>
      <c r="F188" s="3" t="s">
        <v>10</v>
      </c>
      <c r="G188" s="9">
        <v>1944360</v>
      </c>
      <c r="H188" s="9">
        <v>0</v>
      </c>
      <c r="I188" s="9">
        <v>0</v>
      </c>
      <c r="J188" s="9">
        <v>0</v>
      </c>
      <c r="K188" s="9">
        <v>0</v>
      </c>
      <c r="L188" s="9">
        <f>(2946000+294600)*0.6</f>
        <v>1944360</v>
      </c>
      <c r="M188" s="9">
        <v>0</v>
      </c>
      <c r="N188" s="9">
        <v>0</v>
      </c>
      <c r="O188" s="14">
        <f>SUM(J188:N188)</f>
        <v>1944360</v>
      </c>
      <c r="P188" s="12">
        <f>G188-H188-I188-O188</f>
        <v>0</v>
      </c>
    </row>
    <row r="189" spans="1:16" s="10" customFormat="1" ht="19.5" customHeight="1" hidden="1">
      <c r="A189" s="99"/>
      <c r="B189" s="74"/>
      <c r="C189" s="81"/>
      <c r="D189" s="76"/>
      <c r="E189" s="76"/>
      <c r="F189" s="3" t="s">
        <v>38</v>
      </c>
      <c r="G189" s="31">
        <v>712932</v>
      </c>
      <c r="H189" s="31">
        <v>0</v>
      </c>
      <c r="I189" s="9">
        <v>0</v>
      </c>
      <c r="J189" s="9">
        <v>0</v>
      </c>
      <c r="K189" s="9">
        <v>0</v>
      </c>
      <c r="L189" s="9">
        <f>(2946000+294600)*0.22</f>
        <v>712932</v>
      </c>
      <c r="M189" s="9">
        <v>0</v>
      </c>
      <c r="N189" s="9">
        <v>0</v>
      </c>
      <c r="O189" s="14">
        <f>SUM(J189:N189)</f>
        <v>712932</v>
      </c>
      <c r="P189" s="12">
        <f>G189-H189-I189-O189</f>
        <v>0</v>
      </c>
    </row>
    <row r="190" spans="1:16" s="10" customFormat="1" ht="19.5" customHeight="1">
      <c r="A190" s="97">
        <v>37</v>
      </c>
      <c r="B190" s="97">
        <v>43</v>
      </c>
      <c r="C190" s="103" t="s">
        <v>56</v>
      </c>
      <c r="D190" s="94">
        <v>2010</v>
      </c>
      <c r="E190" s="94">
        <v>2010</v>
      </c>
      <c r="F190" s="23" t="s">
        <v>110</v>
      </c>
      <c r="G190" s="11">
        <f>SUBTOTAL(9,G191:G193)</f>
        <v>1342000</v>
      </c>
      <c r="H190" s="11">
        <f>SUBTOTAL(9,H191:H193)</f>
        <v>0</v>
      </c>
      <c r="I190" s="11">
        <f aca="true" t="shared" si="54" ref="I190:P190">SUBTOTAL(9,I191:I193)</f>
        <v>0</v>
      </c>
      <c r="J190" s="11">
        <f t="shared" si="54"/>
        <v>0</v>
      </c>
      <c r="K190" s="11">
        <f t="shared" si="54"/>
        <v>1342000</v>
      </c>
      <c r="L190" s="11">
        <f t="shared" si="54"/>
        <v>0</v>
      </c>
      <c r="M190" s="11">
        <f t="shared" si="54"/>
        <v>0</v>
      </c>
      <c r="N190" s="11">
        <f t="shared" si="54"/>
        <v>0</v>
      </c>
      <c r="O190" s="11">
        <f t="shared" si="54"/>
        <v>1342000</v>
      </c>
      <c r="P190" s="11">
        <f t="shared" si="54"/>
        <v>0</v>
      </c>
    </row>
    <row r="191" spans="1:16" s="10" customFormat="1" ht="12.75" customHeight="1" hidden="1">
      <c r="A191" s="98"/>
      <c r="B191" s="98"/>
      <c r="C191" s="104"/>
      <c r="D191" s="95"/>
      <c r="E191" s="95"/>
      <c r="F191" s="23" t="s">
        <v>8</v>
      </c>
      <c r="G191" s="30">
        <f>K191</f>
        <v>440000</v>
      </c>
      <c r="H191" s="9">
        <v>0</v>
      </c>
      <c r="I191" s="9">
        <v>0</v>
      </c>
      <c r="J191" s="9">
        <v>0</v>
      </c>
      <c r="K191" s="9">
        <f>(1000000+100000)*0.4</f>
        <v>440000</v>
      </c>
      <c r="L191" s="9">
        <v>0</v>
      </c>
      <c r="M191" s="9">
        <v>0</v>
      </c>
      <c r="N191" s="9">
        <v>0</v>
      </c>
      <c r="O191" s="14">
        <f>SUM(J191:N191)</f>
        <v>440000</v>
      </c>
      <c r="P191" s="12">
        <f>G191-H191-I191-O191</f>
        <v>0</v>
      </c>
    </row>
    <row r="192" spans="1:16" s="10" customFormat="1" ht="12.75" customHeight="1" hidden="1">
      <c r="A192" s="98"/>
      <c r="B192" s="98"/>
      <c r="C192" s="104"/>
      <c r="D192" s="95"/>
      <c r="E192" s="95"/>
      <c r="F192" s="3" t="s">
        <v>10</v>
      </c>
      <c r="G192" s="30">
        <f>K192</f>
        <v>660000</v>
      </c>
      <c r="H192" s="9">
        <v>0</v>
      </c>
      <c r="I192" s="9">
        <v>0</v>
      </c>
      <c r="J192" s="9">
        <v>0</v>
      </c>
      <c r="K192" s="9">
        <f>(1000000+100000)*0.6</f>
        <v>660000</v>
      </c>
      <c r="L192" s="9">
        <v>0</v>
      </c>
      <c r="M192" s="9">
        <v>0</v>
      </c>
      <c r="N192" s="9">
        <v>0</v>
      </c>
      <c r="O192" s="14">
        <f>SUM(J192:N192)</f>
        <v>660000</v>
      </c>
      <c r="P192" s="12">
        <f>G192-H192-I192-O192</f>
        <v>0</v>
      </c>
    </row>
    <row r="193" spans="1:16" s="10" customFormat="1" ht="12" customHeight="1" hidden="1">
      <c r="A193" s="99"/>
      <c r="B193" s="99"/>
      <c r="C193" s="105"/>
      <c r="D193" s="96"/>
      <c r="E193" s="96"/>
      <c r="F193" s="3" t="s">
        <v>38</v>
      </c>
      <c r="G193" s="30">
        <f>K193</f>
        <v>242000</v>
      </c>
      <c r="H193" s="9">
        <v>0</v>
      </c>
      <c r="I193" s="9">
        <v>0</v>
      </c>
      <c r="J193" s="9">
        <v>0</v>
      </c>
      <c r="K193" s="9">
        <f>(1000000+100000)*0.22</f>
        <v>242000</v>
      </c>
      <c r="L193" s="9">
        <v>0</v>
      </c>
      <c r="M193" s="9">
        <v>0</v>
      </c>
      <c r="N193" s="9">
        <v>0</v>
      </c>
      <c r="O193" s="14">
        <f>SUM(J193:N193)</f>
        <v>242000</v>
      </c>
      <c r="P193" s="12">
        <f>G193-H193-I193-O193</f>
        <v>0</v>
      </c>
    </row>
    <row r="194" spans="1:16" s="10" customFormat="1" ht="19.5" customHeight="1">
      <c r="A194" s="97">
        <v>37</v>
      </c>
      <c r="B194" s="97">
        <v>44</v>
      </c>
      <c r="C194" s="103" t="s">
        <v>58</v>
      </c>
      <c r="D194" s="94">
        <v>2008</v>
      </c>
      <c r="E194" s="94">
        <v>2011</v>
      </c>
      <c r="F194" s="23" t="s">
        <v>110</v>
      </c>
      <c r="G194" s="11">
        <f>SUBTOTAL(9,G195:G197)</f>
        <v>1927686</v>
      </c>
      <c r="H194" s="11">
        <f>SUBTOTAL(9,H195:H197)</f>
        <v>0</v>
      </c>
      <c r="I194" s="11">
        <f aca="true" t="shared" si="55" ref="I194:P194">SUBTOTAL(9,I195:I197)</f>
        <v>462311</v>
      </c>
      <c r="J194" s="11">
        <f t="shared" si="55"/>
        <v>356759</v>
      </c>
      <c r="K194" s="11">
        <f t="shared" si="55"/>
        <v>531073</v>
      </c>
      <c r="L194" s="11">
        <f t="shared" si="55"/>
        <v>577543</v>
      </c>
      <c r="M194" s="11">
        <f t="shared" si="55"/>
        <v>0</v>
      </c>
      <c r="N194" s="11">
        <f t="shared" si="55"/>
        <v>0</v>
      </c>
      <c r="O194" s="11">
        <f t="shared" si="55"/>
        <v>1465375</v>
      </c>
      <c r="P194" s="11">
        <f t="shared" si="55"/>
        <v>0</v>
      </c>
    </row>
    <row r="195" spans="1:16" s="10" customFormat="1" ht="12.75" customHeight="1" hidden="1">
      <c r="A195" s="98"/>
      <c r="B195" s="98"/>
      <c r="C195" s="104"/>
      <c r="D195" s="95"/>
      <c r="E195" s="95"/>
      <c r="F195" s="23" t="s">
        <v>8</v>
      </c>
      <c r="G195" s="30">
        <f>I195+J195+K195+L195</f>
        <v>632028</v>
      </c>
      <c r="H195" s="9">
        <v>0</v>
      </c>
      <c r="I195" s="9">
        <f>378943*0.4</f>
        <v>151577.2</v>
      </c>
      <c r="J195" s="9">
        <f>292425*0.4</f>
        <v>116970</v>
      </c>
      <c r="K195" s="9">
        <f>435306*0.4</f>
        <v>174122.40000000002</v>
      </c>
      <c r="L195" s="9">
        <f>473396*0.4</f>
        <v>189358.40000000002</v>
      </c>
      <c r="M195" s="9">
        <v>0</v>
      </c>
      <c r="N195" s="9">
        <v>0</v>
      </c>
      <c r="O195" s="14">
        <f>SUM(J195:N195)</f>
        <v>480450.80000000005</v>
      </c>
      <c r="P195" s="12">
        <f>G195-H195-I195-O195</f>
        <v>0</v>
      </c>
    </row>
    <row r="196" spans="1:16" s="10" customFormat="1" ht="12.75" customHeight="1" hidden="1">
      <c r="A196" s="98"/>
      <c r="B196" s="98"/>
      <c r="C196" s="104"/>
      <c r="D196" s="95"/>
      <c r="E196" s="95"/>
      <c r="F196" s="3" t="s">
        <v>10</v>
      </c>
      <c r="G196" s="30">
        <f>I196+J196+K196+L196</f>
        <v>948041.9999999999</v>
      </c>
      <c r="H196" s="9">
        <v>0</v>
      </c>
      <c r="I196" s="9">
        <f>378943*0.6</f>
        <v>227365.8</v>
      </c>
      <c r="J196" s="9">
        <f>292425*0.6</f>
        <v>175455</v>
      </c>
      <c r="K196" s="9">
        <f>435306*0.6</f>
        <v>261183.59999999998</v>
      </c>
      <c r="L196" s="9">
        <f>473396*0.6</f>
        <v>284037.6</v>
      </c>
      <c r="M196" s="9">
        <v>0</v>
      </c>
      <c r="N196" s="9">
        <v>0</v>
      </c>
      <c r="O196" s="14">
        <f>SUM(J196:N196)</f>
        <v>720676.2</v>
      </c>
      <c r="P196" s="12">
        <f>G196-H196-I196-O196</f>
        <v>0</v>
      </c>
    </row>
    <row r="197" spans="1:16" s="10" customFormat="1" ht="12.75" customHeight="1" hidden="1">
      <c r="A197" s="99"/>
      <c r="B197" s="99"/>
      <c r="C197" s="105"/>
      <c r="D197" s="96"/>
      <c r="E197" s="96"/>
      <c r="F197" s="3" t="s">
        <v>38</v>
      </c>
      <c r="G197" s="30">
        <f>I197+J197+K197+L197</f>
        <v>347616</v>
      </c>
      <c r="H197" s="9">
        <v>0</v>
      </c>
      <c r="I197" s="9">
        <v>83368</v>
      </c>
      <c r="J197" s="9">
        <v>64334</v>
      </c>
      <c r="K197" s="9">
        <v>95767</v>
      </c>
      <c r="L197" s="9">
        <v>104147</v>
      </c>
      <c r="M197" s="9">
        <v>0</v>
      </c>
      <c r="N197" s="9">
        <v>0</v>
      </c>
      <c r="O197" s="14">
        <f>SUM(J197:N197)</f>
        <v>264248</v>
      </c>
      <c r="P197" s="12">
        <f>G197-H197-I197-O197</f>
        <v>0</v>
      </c>
    </row>
    <row r="198" spans="1:16" s="10" customFormat="1" ht="19.5" customHeight="1">
      <c r="A198" s="97">
        <v>37</v>
      </c>
      <c r="B198" s="97">
        <v>45</v>
      </c>
      <c r="C198" s="103" t="s">
        <v>59</v>
      </c>
      <c r="D198" s="94">
        <v>2008</v>
      </c>
      <c r="E198" s="94">
        <v>2011</v>
      </c>
      <c r="F198" s="23" t="s">
        <v>110</v>
      </c>
      <c r="G198" s="11">
        <f>SUBTOTAL(9,G199:G201)</f>
        <v>642562</v>
      </c>
      <c r="H198" s="11">
        <f>SUBTOTAL(9,H199:H201)</f>
        <v>0</v>
      </c>
      <c r="I198" s="11">
        <f aca="true" t="shared" si="56" ref="I198:P198">SUBTOTAL(9,I199:I201)</f>
        <v>154103</v>
      </c>
      <c r="J198" s="11">
        <f t="shared" si="56"/>
        <v>118920</v>
      </c>
      <c r="K198" s="11">
        <f t="shared" si="56"/>
        <v>177024</v>
      </c>
      <c r="L198" s="11">
        <f t="shared" si="56"/>
        <v>192515</v>
      </c>
      <c r="M198" s="11">
        <f t="shared" si="56"/>
        <v>0</v>
      </c>
      <c r="N198" s="11">
        <f t="shared" si="56"/>
        <v>0</v>
      </c>
      <c r="O198" s="11">
        <f t="shared" si="56"/>
        <v>488459</v>
      </c>
      <c r="P198" s="11">
        <f t="shared" si="56"/>
        <v>0</v>
      </c>
    </row>
    <row r="199" spans="1:16" s="10" customFormat="1" ht="12.75" customHeight="1" hidden="1">
      <c r="A199" s="98"/>
      <c r="B199" s="98"/>
      <c r="C199" s="104"/>
      <c r="D199" s="95"/>
      <c r="E199" s="95"/>
      <c r="F199" s="23" t="s">
        <v>8</v>
      </c>
      <c r="G199" s="30">
        <f>I199+J199+K199+L199</f>
        <v>210676.00000000003</v>
      </c>
      <c r="H199" s="9">
        <v>0</v>
      </c>
      <c r="I199" s="9">
        <f>126314*0.4</f>
        <v>50525.600000000006</v>
      </c>
      <c r="J199" s="9">
        <f>97475*0.4</f>
        <v>38990</v>
      </c>
      <c r="K199" s="9">
        <f>145102*0.4</f>
        <v>58040.8</v>
      </c>
      <c r="L199" s="9">
        <f>157799*0.4</f>
        <v>63119.600000000006</v>
      </c>
      <c r="M199" s="9">
        <v>0</v>
      </c>
      <c r="N199" s="9">
        <v>0</v>
      </c>
      <c r="O199" s="14">
        <f>SUM(J199:N199)</f>
        <v>160150.40000000002</v>
      </c>
      <c r="P199" s="12">
        <f>G199-H199-I199-O199</f>
        <v>0</v>
      </c>
    </row>
    <row r="200" spans="1:16" s="10" customFormat="1" ht="12.75" customHeight="1" hidden="1">
      <c r="A200" s="98"/>
      <c r="B200" s="98"/>
      <c r="C200" s="104"/>
      <c r="D200" s="95"/>
      <c r="E200" s="95"/>
      <c r="F200" s="3" t="s">
        <v>10</v>
      </c>
      <c r="G200" s="30">
        <f>I200+J200+K200+L200</f>
        <v>316014</v>
      </c>
      <c r="H200" s="9">
        <v>0</v>
      </c>
      <c r="I200" s="9">
        <f>126314*0.6</f>
        <v>75788.4</v>
      </c>
      <c r="J200" s="9">
        <f>97475*0.6</f>
        <v>58485</v>
      </c>
      <c r="K200" s="9">
        <f>145102*0.6</f>
        <v>87061.2</v>
      </c>
      <c r="L200" s="9">
        <f>157799*0.6</f>
        <v>94679.4</v>
      </c>
      <c r="M200" s="9">
        <v>0</v>
      </c>
      <c r="N200" s="9">
        <v>0</v>
      </c>
      <c r="O200" s="14">
        <f>SUM(J200:N200)</f>
        <v>240225.6</v>
      </c>
      <c r="P200" s="12">
        <f>G200-H200-I200-O200</f>
        <v>0</v>
      </c>
    </row>
    <row r="201" spans="1:16" s="10" customFormat="1" ht="12.75" customHeight="1" hidden="1">
      <c r="A201" s="99"/>
      <c r="B201" s="99"/>
      <c r="C201" s="105"/>
      <c r="D201" s="96"/>
      <c r="E201" s="96"/>
      <c r="F201" s="3" t="s">
        <v>38</v>
      </c>
      <c r="G201" s="30">
        <f>I201+J201+K201+L201</f>
        <v>115872</v>
      </c>
      <c r="H201" s="9">
        <v>0</v>
      </c>
      <c r="I201" s="9">
        <v>27789</v>
      </c>
      <c r="J201" s="9">
        <v>21445</v>
      </c>
      <c r="K201" s="9">
        <v>31922</v>
      </c>
      <c r="L201" s="9">
        <v>34716</v>
      </c>
      <c r="M201" s="9">
        <v>0</v>
      </c>
      <c r="N201" s="9">
        <v>0</v>
      </c>
      <c r="O201" s="14">
        <f>SUM(J201:N201)</f>
        <v>88083</v>
      </c>
      <c r="P201" s="12">
        <f>G201-H201-I201-O201</f>
        <v>0</v>
      </c>
    </row>
    <row r="202" spans="1:16" s="10" customFormat="1" ht="19.5" customHeight="1">
      <c r="A202" s="97">
        <v>37</v>
      </c>
      <c r="B202" s="97">
        <v>46</v>
      </c>
      <c r="C202" s="103" t="s">
        <v>60</v>
      </c>
      <c r="D202" s="94">
        <v>2008</v>
      </c>
      <c r="E202" s="94">
        <v>2011</v>
      </c>
      <c r="F202" s="23" t="s">
        <v>110</v>
      </c>
      <c r="G202" s="11">
        <f>SUBTOTAL(9,G203:G205)</f>
        <v>4883470</v>
      </c>
      <c r="H202" s="11">
        <f>SUBTOTAL(9,H203:H205)</f>
        <v>0</v>
      </c>
      <c r="I202" s="11">
        <f aca="true" t="shared" si="57" ref="I202:P202">SUBTOTAL(9,I203:I205)</f>
        <v>1171188</v>
      </c>
      <c r="J202" s="11">
        <f t="shared" si="57"/>
        <v>903789</v>
      </c>
      <c r="K202" s="11">
        <f t="shared" si="57"/>
        <v>1345385</v>
      </c>
      <c r="L202" s="11">
        <f t="shared" si="57"/>
        <v>1463108</v>
      </c>
      <c r="M202" s="11">
        <f t="shared" si="57"/>
        <v>0</v>
      </c>
      <c r="N202" s="11">
        <f t="shared" si="57"/>
        <v>0</v>
      </c>
      <c r="O202" s="11">
        <f t="shared" si="57"/>
        <v>3712282</v>
      </c>
      <c r="P202" s="11">
        <f t="shared" si="57"/>
        <v>0</v>
      </c>
    </row>
    <row r="203" spans="1:16" s="10" customFormat="1" ht="12.75" customHeight="1" hidden="1">
      <c r="A203" s="98"/>
      <c r="B203" s="98"/>
      <c r="C203" s="104"/>
      <c r="D203" s="95"/>
      <c r="E203" s="95"/>
      <c r="F203" s="23" t="s">
        <v>8</v>
      </c>
      <c r="G203" s="30">
        <f>I203+J203+K203+L203</f>
        <v>1601138</v>
      </c>
      <c r="H203" s="9">
        <v>0</v>
      </c>
      <c r="I203" s="9">
        <f>959990*0.4</f>
        <v>383996</v>
      </c>
      <c r="J203" s="9">
        <f>740811*0.4</f>
        <v>296324.4</v>
      </c>
      <c r="K203" s="9">
        <f>1102775*0.4</f>
        <v>441110</v>
      </c>
      <c r="L203" s="9">
        <f>1199269*0.4</f>
        <v>479707.60000000003</v>
      </c>
      <c r="M203" s="9">
        <v>0</v>
      </c>
      <c r="N203" s="9">
        <v>0</v>
      </c>
      <c r="O203" s="14">
        <f>SUM(J203:N203)</f>
        <v>1217142</v>
      </c>
      <c r="P203" s="12">
        <f>G203-H203-I203-O203</f>
        <v>0</v>
      </c>
    </row>
    <row r="204" spans="1:16" s="10" customFormat="1" ht="12.75" customHeight="1" hidden="1">
      <c r="A204" s="98"/>
      <c r="B204" s="98"/>
      <c r="C204" s="104"/>
      <c r="D204" s="95"/>
      <c r="E204" s="95"/>
      <c r="F204" s="3" t="s">
        <v>10</v>
      </c>
      <c r="G204" s="30">
        <f>I204+J204+K204+L204</f>
        <v>2401707</v>
      </c>
      <c r="H204" s="9">
        <v>0</v>
      </c>
      <c r="I204" s="9">
        <f>959990*0.6</f>
        <v>575994</v>
      </c>
      <c r="J204" s="9">
        <f>740811*0.6</f>
        <v>444486.6</v>
      </c>
      <c r="K204" s="9">
        <f>1102775*0.6</f>
        <v>661665</v>
      </c>
      <c r="L204" s="9">
        <f>1199269*0.6</f>
        <v>719561.4</v>
      </c>
      <c r="M204" s="9">
        <v>0</v>
      </c>
      <c r="N204" s="9">
        <v>0</v>
      </c>
      <c r="O204" s="14">
        <f>SUM(J204:N204)</f>
        <v>1825713</v>
      </c>
      <c r="P204" s="12">
        <f>G204-H204-I204-O204</f>
        <v>0</v>
      </c>
    </row>
    <row r="205" spans="1:16" s="10" customFormat="1" ht="12.75" customHeight="1" hidden="1">
      <c r="A205" s="99"/>
      <c r="B205" s="99"/>
      <c r="C205" s="105"/>
      <c r="D205" s="96"/>
      <c r="E205" s="96"/>
      <c r="F205" s="3" t="s">
        <v>38</v>
      </c>
      <c r="G205" s="30">
        <f>I205+J205+K205+L205</f>
        <v>880625</v>
      </c>
      <c r="H205" s="9">
        <v>0</v>
      </c>
      <c r="I205" s="9">
        <v>211198</v>
      </c>
      <c r="J205" s="9">
        <v>162978</v>
      </c>
      <c r="K205" s="9">
        <v>242610</v>
      </c>
      <c r="L205" s="9">
        <v>263839</v>
      </c>
      <c r="M205" s="9">
        <v>0</v>
      </c>
      <c r="N205" s="9">
        <v>0</v>
      </c>
      <c r="O205" s="14">
        <f>SUM(J205:N205)</f>
        <v>669427</v>
      </c>
      <c r="P205" s="12">
        <f>G205-H205-I205-O205</f>
        <v>0</v>
      </c>
    </row>
    <row r="206" spans="1:16" s="10" customFormat="1" ht="19.5" customHeight="1">
      <c r="A206" s="97">
        <v>37</v>
      </c>
      <c r="B206" s="97">
        <v>47</v>
      </c>
      <c r="C206" s="103" t="s">
        <v>61</v>
      </c>
      <c r="D206" s="94">
        <v>2008</v>
      </c>
      <c r="E206" s="94">
        <v>2009</v>
      </c>
      <c r="F206" s="23" t="s">
        <v>110</v>
      </c>
      <c r="G206" s="11">
        <f>SUBTOTAL(9,G207:G209)</f>
        <v>638750</v>
      </c>
      <c r="H206" s="11">
        <f>SUBTOTAL(9,H207:H209)</f>
        <v>0</v>
      </c>
      <c r="I206" s="11">
        <f aca="true" t="shared" si="58" ref="I206:P206">SUBTOTAL(9,I207:I209)</f>
        <v>319375</v>
      </c>
      <c r="J206" s="11">
        <f t="shared" si="58"/>
        <v>319375</v>
      </c>
      <c r="K206" s="11">
        <f t="shared" si="58"/>
        <v>0</v>
      </c>
      <c r="L206" s="11">
        <f t="shared" si="58"/>
        <v>0</v>
      </c>
      <c r="M206" s="11">
        <f t="shared" si="58"/>
        <v>0</v>
      </c>
      <c r="N206" s="11">
        <f t="shared" si="58"/>
        <v>0</v>
      </c>
      <c r="O206" s="11">
        <f t="shared" si="58"/>
        <v>319375</v>
      </c>
      <c r="P206" s="11">
        <f t="shared" si="58"/>
        <v>0</v>
      </c>
    </row>
    <row r="207" spans="1:16" s="10" customFormat="1" ht="12.75" customHeight="1" hidden="1">
      <c r="A207" s="98"/>
      <c r="B207" s="98"/>
      <c r="C207" s="104"/>
      <c r="D207" s="95"/>
      <c r="E207" s="95"/>
      <c r="F207" s="23" t="s">
        <v>8</v>
      </c>
      <c r="G207" s="30">
        <f>I207+J207</f>
        <v>255500</v>
      </c>
      <c r="H207" s="9">
        <v>0</v>
      </c>
      <c r="I207" s="9">
        <f>(638750*0.4)/2</f>
        <v>127750</v>
      </c>
      <c r="J207" s="9">
        <f>(638750*0.4)/2</f>
        <v>127750</v>
      </c>
      <c r="K207" s="9">
        <v>0</v>
      </c>
      <c r="L207" s="9">
        <v>0</v>
      </c>
      <c r="M207" s="9">
        <v>0</v>
      </c>
      <c r="N207" s="9">
        <v>0</v>
      </c>
      <c r="O207" s="14">
        <f>SUM(J207:N207)</f>
        <v>127750</v>
      </c>
      <c r="P207" s="12">
        <f>G207-H207-I207-O207</f>
        <v>0</v>
      </c>
    </row>
    <row r="208" spans="1:16" s="10" customFormat="1" ht="12.75" customHeight="1" hidden="1">
      <c r="A208" s="98"/>
      <c r="B208" s="98"/>
      <c r="C208" s="104"/>
      <c r="D208" s="95"/>
      <c r="E208" s="95"/>
      <c r="F208" s="3" t="s">
        <v>10</v>
      </c>
      <c r="G208" s="30">
        <f>I208+J208</f>
        <v>383250</v>
      </c>
      <c r="H208" s="9">
        <v>0</v>
      </c>
      <c r="I208" s="9">
        <f>(638750*0.6)/2</f>
        <v>191625</v>
      </c>
      <c r="J208" s="9">
        <f>(638750*0.6)/2</f>
        <v>191625</v>
      </c>
      <c r="K208" s="9">
        <v>0</v>
      </c>
      <c r="L208" s="9">
        <v>0</v>
      </c>
      <c r="M208" s="9">
        <v>0</v>
      </c>
      <c r="N208" s="9">
        <v>0</v>
      </c>
      <c r="O208" s="14">
        <f>SUM(J208:N208)</f>
        <v>191625</v>
      </c>
      <c r="P208" s="12">
        <f>G208-H208-I208-O208</f>
        <v>0</v>
      </c>
    </row>
    <row r="209" spans="1:16" s="10" customFormat="1" ht="12.75" customHeight="1" hidden="1">
      <c r="A209" s="99"/>
      <c r="B209" s="99"/>
      <c r="C209" s="105"/>
      <c r="D209" s="96"/>
      <c r="E209" s="96"/>
      <c r="F209" s="3" t="s">
        <v>38</v>
      </c>
      <c r="G209" s="30">
        <f>I209+J209</f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14">
        <f>SUM(J209:N209)</f>
        <v>0</v>
      </c>
      <c r="P209" s="12">
        <f>G209-H209-I209-O209</f>
        <v>0</v>
      </c>
    </row>
    <row r="210" spans="1:16" s="10" customFormat="1" ht="19.5" customHeight="1">
      <c r="A210" s="97">
        <v>38</v>
      </c>
      <c r="B210" s="77">
        <v>48</v>
      </c>
      <c r="C210" s="82" t="s">
        <v>41</v>
      </c>
      <c r="D210" s="79">
        <v>2007</v>
      </c>
      <c r="E210" s="79">
        <v>2011</v>
      </c>
      <c r="F210" s="23" t="s">
        <v>110</v>
      </c>
      <c r="G210" s="11">
        <f>SUBTOTAL(9,G211:G213)</f>
        <v>2961540</v>
      </c>
      <c r="H210" s="11">
        <f>SUBTOTAL(9,H211:H213)</f>
        <v>228740</v>
      </c>
      <c r="I210" s="11">
        <f aca="true" t="shared" si="59" ref="I210:P210">SUBTOTAL(9,I211:I213)</f>
        <v>683200</v>
      </c>
      <c r="J210" s="11">
        <f t="shared" si="59"/>
        <v>683200</v>
      </c>
      <c r="K210" s="11">
        <f t="shared" si="59"/>
        <v>683200</v>
      </c>
      <c r="L210" s="11">
        <f t="shared" si="59"/>
        <v>683200</v>
      </c>
      <c r="M210" s="11">
        <f t="shared" si="59"/>
        <v>0</v>
      </c>
      <c r="N210" s="11">
        <f t="shared" si="59"/>
        <v>0</v>
      </c>
      <c r="O210" s="11">
        <f t="shared" si="59"/>
        <v>2049600</v>
      </c>
      <c r="P210" s="11">
        <f t="shared" si="59"/>
        <v>0</v>
      </c>
    </row>
    <row r="211" spans="1:16" s="10" customFormat="1" ht="12.75" customHeight="1" hidden="1">
      <c r="A211" s="98"/>
      <c r="B211" s="73"/>
      <c r="C211" s="80"/>
      <c r="D211" s="75"/>
      <c r="E211" s="75"/>
      <c r="F211" s="23" t="s">
        <v>8</v>
      </c>
      <c r="G211" s="30">
        <f>H211+I211+J211+K211+L211</f>
        <v>1113987</v>
      </c>
      <c r="H211" s="9">
        <v>217987</v>
      </c>
      <c r="I211" s="11">
        <f>560000*0.4</f>
        <v>224000</v>
      </c>
      <c r="J211" s="11">
        <f>560000*0.4</f>
        <v>224000</v>
      </c>
      <c r="K211" s="11">
        <f>560000*0.4</f>
        <v>224000</v>
      </c>
      <c r="L211" s="11">
        <f>560000*0.4</f>
        <v>224000</v>
      </c>
      <c r="M211" s="9">
        <v>0</v>
      </c>
      <c r="N211" s="9">
        <v>0</v>
      </c>
      <c r="O211" s="14">
        <f>SUM(J211:N211)</f>
        <v>672000</v>
      </c>
      <c r="P211" s="12">
        <f>G211-H211-I211-O211</f>
        <v>0</v>
      </c>
    </row>
    <row r="212" spans="1:16" s="10" customFormat="1" ht="12.75" customHeight="1" hidden="1">
      <c r="A212" s="98"/>
      <c r="B212" s="73"/>
      <c r="C212" s="80"/>
      <c r="D212" s="75"/>
      <c r="E212" s="75"/>
      <c r="F212" s="3" t="s">
        <v>10</v>
      </c>
      <c r="G212" s="30">
        <f>H212+I212+J212+K212+L212</f>
        <v>1344000</v>
      </c>
      <c r="H212" s="9">
        <v>0</v>
      </c>
      <c r="I212" s="11">
        <f>560000*0.6</f>
        <v>336000</v>
      </c>
      <c r="J212" s="11">
        <f>560000*0.6</f>
        <v>336000</v>
      </c>
      <c r="K212" s="11">
        <f>560000*0.6</f>
        <v>336000</v>
      </c>
      <c r="L212" s="11">
        <f>560000*0.6</f>
        <v>336000</v>
      </c>
      <c r="M212" s="9">
        <v>0</v>
      </c>
      <c r="N212" s="9">
        <v>0</v>
      </c>
      <c r="O212" s="14">
        <f>SUM(J212:N212)</f>
        <v>1008000</v>
      </c>
      <c r="P212" s="12">
        <f>G212-H212-I212-O212</f>
        <v>0</v>
      </c>
    </row>
    <row r="213" spans="1:16" s="10" customFormat="1" ht="12.75" customHeight="1" hidden="1">
      <c r="A213" s="99"/>
      <c r="B213" s="74"/>
      <c r="C213" s="81"/>
      <c r="D213" s="76"/>
      <c r="E213" s="76"/>
      <c r="F213" s="3" t="s">
        <v>38</v>
      </c>
      <c r="G213" s="30">
        <f>H213+I213+J213+K213+L213</f>
        <v>503553</v>
      </c>
      <c r="H213" s="9">
        <v>10753</v>
      </c>
      <c r="I213" s="9">
        <v>123200</v>
      </c>
      <c r="J213" s="9">
        <v>123200</v>
      </c>
      <c r="K213" s="9">
        <v>123200</v>
      </c>
      <c r="L213" s="9">
        <v>123200</v>
      </c>
      <c r="M213" s="9">
        <v>0</v>
      </c>
      <c r="N213" s="9">
        <v>0</v>
      </c>
      <c r="O213" s="14">
        <f>SUM(J213:N213)</f>
        <v>369600</v>
      </c>
      <c r="P213" s="12">
        <f>G213-H213-I213-O213</f>
        <v>0</v>
      </c>
    </row>
    <row r="214" spans="1:16" s="5" customFormat="1" ht="12.75" customHeight="1">
      <c r="A214" s="36"/>
      <c r="B214" s="36"/>
      <c r="C214" s="20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40"/>
    </row>
    <row r="215" spans="2:17" s="10" customFormat="1" ht="30" customHeight="1">
      <c r="B215" s="132" t="s">
        <v>31</v>
      </c>
      <c r="C215" s="133"/>
      <c r="D215" s="133"/>
      <c r="E215" s="134"/>
      <c r="F215" s="37" t="s">
        <v>112</v>
      </c>
      <c r="G215" s="42">
        <f>SUM(G216:G218)</f>
        <v>30382603</v>
      </c>
      <c r="H215" s="42">
        <f aca="true" t="shared" si="60" ref="H215:P215">SUM(H216:H218)</f>
        <v>477386</v>
      </c>
      <c r="I215" s="42">
        <f t="shared" si="60"/>
        <v>2406217</v>
      </c>
      <c r="J215" s="42">
        <f t="shared" si="60"/>
        <v>2473000</v>
      </c>
      <c r="K215" s="42">
        <f t="shared" si="60"/>
        <v>10876000</v>
      </c>
      <c r="L215" s="42">
        <f t="shared" si="60"/>
        <v>4250000</v>
      </c>
      <c r="M215" s="42">
        <f t="shared" si="60"/>
        <v>6200000</v>
      </c>
      <c r="N215" s="42">
        <f t="shared" si="60"/>
        <v>3700000</v>
      </c>
      <c r="O215" s="42">
        <f t="shared" si="60"/>
        <v>27499000</v>
      </c>
      <c r="P215" s="38">
        <f t="shared" si="60"/>
        <v>0</v>
      </c>
      <c r="Q215" s="34"/>
    </row>
    <row r="216" spans="2:16" s="10" customFormat="1" ht="15.75" customHeight="1" hidden="1">
      <c r="B216" s="83"/>
      <c r="C216" s="84"/>
      <c r="D216" s="84"/>
      <c r="E216" s="85"/>
      <c r="F216" s="59" t="s">
        <v>32</v>
      </c>
      <c r="G216" s="42">
        <f aca="true" t="shared" si="61" ref="G216:O216">SUMIF($F$221:$F$363,$F$222,G221:G362)</f>
        <v>30382603</v>
      </c>
      <c r="H216" s="42">
        <f t="shared" si="61"/>
        <v>477386</v>
      </c>
      <c r="I216" s="42">
        <f t="shared" si="61"/>
        <v>2406217</v>
      </c>
      <c r="J216" s="42">
        <f t="shared" si="61"/>
        <v>2473000</v>
      </c>
      <c r="K216" s="42">
        <f t="shared" si="61"/>
        <v>10876000</v>
      </c>
      <c r="L216" s="42">
        <f t="shared" si="61"/>
        <v>4250000</v>
      </c>
      <c r="M216" s="42">
        <f t="shared" si="61"/>
        <v>6200000</v>
      </c>
      <c r="N216" s="42">
        <f t="shared" si="61"/>
        <v>3700000</v>
      </c>
      <c r="O216" s="42">
        <f t="shared" si="61"/>
        <v>27499000</v>
      </c>
      <c r="P216" s="38">
        <f>SUMIF($F$221:$F$9674,#REF!,P221:P9808)</f>
        <v>0</v>
      </c>
    </row>
    <row r="217" spans="2:16" s="10" customFormat="1" ht="15.75" customHeight="1" hidden="1">
      <c r="B217" s="83"/>
      <c r="C217" s="84"/>
      <c r="D217" s="84"/>
      <c r="E217" s="85"/>
      <c r="F217" s="39" t="s">
        <v>33</v>
      </c>
      <c r="G217" s="42">
        <f aca="true" t="shared" si="62" ref="G217:O217">SUMIF($F$221:$F$710,$F$223,G221:G366)</f>
        <v>0</v>
      </c>
      <c r="H217" s="42">
        <f t="shared" si="62"/>
        <v>0</v>
      </c>
      <c r="I217" s="42">
        <f t="shared" si="62"/>
        <v>0</v>
      </c>
      <c r="J217" s="42">
        <f t="shared" si="62"/>
        <v>0</v>
      </c>
      <c r="K217" s="42">
        <f t="shared" si="62"/>
        <v>0</v>
      </c>
      <c r="L217" s="42">
        <f t="shared" si="62"/>
        <v>0</v>
      </c>
      <c r="M217" s="42">
        <f t="shared" si="62"/>
        <v>0</v>
      </c>
      <c r="N217" s="42">
        <f t="shared" si="62"/>
        <v>0</v>
      </c>
      <c r="O217" s="42">
        <f t="shared" si="62"/>
        <v>0</v>
      </c>
      <c r="P217" s="38">
        <f>SUMIF($F$221:$F$9674,#REF!,P221:P9809)</f>
        <v>0</v>
      </c>
    </row>
    <row r="218" spans="2:17" s="10" customFormat="1" ht="15.75" customHeight="1" hidden="1">
      <c r="B218" s="86"/>
      <c r="C218" s="87"/>
      <c r="D218" s="87"/>
      <c r="E218" s="88"/>
      <c r="F218" s="39" t="s">
        <v>39</v>
      </c>
      <c r="G218" s="42">
        <f aca="true" t="shared" si="63" ref="G218:O218">SUMIF($F$221:$F$878,$F$224,G221:G782)</f>
        <v>0</v>
      </c>
      <c r="H218" s="42">
        <f t="shared" si="63"/>
        <v>0</v>
      </c>
      <c r="I218" s="42">
        <f t="shared" si="63"/>
        <v>0</v>
      </c>
      <c r="J218" s="42">
        <f t="shared" si="63"/>
        <v>0</v>
      </c>
      <c r="K218" s="42">
        <f t="shared" si="63"/>
        <v>0</v>
      </c>
      <c r="L218" s="42">
        <f t="shared" si="63"/>
        <v>0</v>
      </c>
      <c r="M218" s="42">
        <f t="shared" si="63"/>
        <v>0</v>
      </c>
      <c r="N218" s="42">
        <f t="shared" si="63"/>
        <v>0</v>
      </c>
      <c r="O218" s="42">
        <f t="shared" si="63"/>
        <v>0</v>
      </c>
      <c r="P218" s="38">
        <f>SUMIF($F$221:$F$9674,#REF!,P221:P9810)</f>
        <v>0</v>
      </c>
      <c r="Q218" s="60"/>
    </row>
    <row r="219" spans="1:17" s="5" customFormat="1" ht="12.75" customHeight="1">
      <c r="A219" s="36"/>
      <c r="B219" s="36"/>
      <c r="C219" s="20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40"/>
      <c r="Q219" s="63"/>
    </row>
    <row r="220" spans="2:17" s="5" customFormat="1" ht="12.75" customHeight="1">
      <c r="B220" s="135" t="s">
        <v>34</v>
      </c>
      <c r="C220" s="136"/>
      <c r="D220" s="136"/>
      <c r="E220" s="137"/>
      <c r="F220" s="45" t="s">
        <v>36</v>
      </c>
      <c r="G220" s="44">
        <f aca="true" t="shared" si="64" ref="G220:P220">SUBTOTAL(9,G221:G284)</f>
        <v>10678649</v>
      </c>
      <c r="H220" s="44">
        <f t="shared" si="64"/>
        <v>276432</v>
      </c>
      <c r="I220" s="44">
        <f t="shared" si="64"/>
        <v>893217</v>
      </c>
      <c r="J220" s="44">
        <f t="shared" si="64"/>
        <v>1083000</v>
      </c>
      <c r="K220" s="44">
        <f t="shared" si="64"/>
        <v>4876000</v>
      </c>
      <c r="L220" s="44">
        <f t="shared" si="64"/>
        <v>3150000</v>
      </c>
      <c r="M220" s="44">
        <f t="shared" si="64"/>
        <v>200000</v>
      </c>
      <c r="N220" s="44">
        <f t="shared" si="64"/>
        <v>200000</v>
      </c>
      <c r="O220" s="44">
        <f t="shared" si="64"/>
        <v>9509000</v>
      </c>
      <c r="P220" s="44">
        <f t="shared" si="64"/>
        <v>0</v>
      </c>
      <c r="Q220" s="63"/>
    </row>
    <row r="221" spans="1:17" s="10" customFormat="1" ht="30" customHeight="1">
      <c r="A221" s="97">
        <v>41</v>
      </c>
      <c r="B221" s="97">
        <v>49</v>
      </c>
      <c r="C221" s="100" t="s">
        <v>96</v>
      </c>
      <c r="D221" s="94">
        <v>2007</v>
      </c>
      <c r="E221" s="94">
        <v>2008</v>
      </c>
      <c r="F221" s="23" t="s">
        <v>110</v>
      </c>
      <c r="G221" s="11">
        <f>SUBTOTAL(9,G222:G224)</f>
        <v>203511</v>
      </c>
      <c r="H221" s="11">
        <f>SUBTOTAL(9,H222:H224)</f>
        <v>195294</v>
      </c>
      <c r="I221" s="11">
        <f aca="true" t="shared" si="65" ref="I221:P221">SUBTOTAL(9,I222:I224)</f>
        <v>8217</v>
      </c>
      <c r="J221" s="11">
        <f t="shared" si="65"/>
        <v>0</v>
      </c>
      <c r="K221" s="11">
        <f t="shared" si="65"/>
        <v>0</v>
      </c>
      <c r="L221" s="11">
        <f t="shared" si="65"/>
        <v>0</v>
      </c>
      <c r="M221" s="11">
        <f t="shared" si="65"/>
        <v>0</v>
      </c>
      <c r="N221" s="11">
        <f t="shared" si="65"/>
        <v>0</v>
      </c>
      <c r="O221" s="11">
        <f t="shared" si="65"/>
        <v>0</v>
      </c>
      <c r="P221" s="11">
        <f t="shared" si="65"/>
        <v>0</v>
      </c>
      <c r="Q221" s="61"/>
    </row>
    <row r="222" spans="1:17" s="10" customFormat="1" ht="12.75" customHeight="1" hidden="1">
      <c r="A222" s="98"/>
      <c r="B222" s="98"/>
      <c r="C222" s="101"/>
      <c r="D222" s="95"/>
      <c r="E222" s="95"/>
      <c r="F222" s="23" t="s">
        <v>8</v>
      </c>
      <c r="G222" s="13">
        <v>203511</v>
      </c>
      <c r="H222" s="9">
        <v>195294</v>
      </c>
      <c r="I222" s="11">
        <v>8217</v>
      </c>
      <c r="J222" s="11">
        <v>0</v>
      </c>
      <c r="K222" s="9">
        <v>0</v>
      </c>
      <c r="L222" s="9">
        <v>0</v>
      </c>
      <c r="M222" s="9">
        <v>0</v>
      </c>
      <c r="N222" s="9">
        <v>0</v>
      </c>
      <c r="O222" s="14">
        <f>SUM(J222:N222)</f>
        <v>0</v>
      </c>
      <c r="P222" s="12">
        <f>G222-H222-I222-O222</f>
        <v>0</v>
      </c>
      <c r="Q222" s="62"/>
    </row>
    <row r="223" spans="1:17" s="10" customFormat="1" ht="12.75" customHeight="1" hidden="1">
      <c r="A223" s="98"/>
      <c r="B223" s="98"/>
      <c r="C223" s="101"/>
      <c r="D223" s="95"/>
      <c r="E223" s="95"/>
      <c r="F223" s="3" t="s">
        <v>10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14">
        <f>SUM(J223:N223)</f>
        <v>0</v>
      </c>
      <c r="P223" s="12">
        <f>G223-H223-I223-O223</f>
        <v>0</v>
      </c>
      <c r="Q223" s="62"/>
    </row>
    <row r="224" spans="1:17" s="10" customFormat="1" ht="12.75" customHeight="1" hidden="1">
      <c r="A224" s="99"/>
      <c r="B224" s="99"/>
      <c r="C224" s="102"/>
      <c r="D224" s="96"/>
      <c r="E224" s="96"/>
      <c r="F224" s="3" t="s">
        <v>38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14">
        <f>SUM(J224:N224)</f>
        <v>0</v>
      </c>
      <c r="P224" s="12">
        <f>G224-H224-I224-O224</f>
        <v>0</v>
      </c>
      <c r="Q224" s="62"/>
    </row>
    <row r="225" spans="1:17" s="10" customFormat="1" ht="30" customHeight="1">
      <c r="A225" s="97">
        <v>41</v>
      </c>
      <c r="B225" s="97">
        <v>50</v>
      </c>
      <c r="C225" s="100" t="s">
        <v>97</v>
      </c>
      <c r="D225" s="94">
        <v>2007</v>
      </c>
      <c r="E225" s="94">
        <v>2008</v>
      </c>
      <c r="F225" s="23" t="s">
        <v>110</v>
      </c>
      <c r="G225" s="11">
        <f>SUBTOTAL(9,G226:G228)</f>
        <v>38782</v>
      </c>
      <c r="H225" s="11">
        <f>SUBTOTAL(9,H226:H228)</f>
        <v>3782</v>
      </c>
      <c r="I225" s="11">
        <f aca="true" t="shared" si="66" ref="I225:P225">SUBTOTAL(9,I226:I228)</f>
        <v>35000</v>
      </c>
      <c r="J225" s="11">
        <f t="shared" si="66"/>
        <v>0</v>
      </c>
      <c r="K225" s="11">
        <f t="shared" si="66"/>
        <v>0</v>
      </c>
      <c r="L225" s="11">
        <f t="shared" si="66"/>
        <v>0</v>
      </c>
      <c r="M225" s="11">
        <f t="shared" si="66"/>
        <v>0</v>
      </c>
      <c r="N225" s="11">
        <f t="shared" si="66"/>
        <v>0</v>
      </c>
      <c r="O225" s="11">
        <f t="shared" si="66"/>
        <v>0</v>
      </c>
      <c r="P225" s="11">
        <f t="shared" si="66"/>
        <v>0</v>
      </c>
      <c r="Q225" s="61"/>
    </row>
    <row r="226" spans="1:17" s="10" customFormat="1" ht="12.75" customHeight="1" hidden="1">
      <c r="A226" s="98"/>
      <c r="B226" s="98"/>
      <c r="C226" s="101"/>
      <c r="D226" s="95"/>
      <c r="E226" s="95"/>
      <c r="F226" s="23" t="s">
        <v>8</v>
      </c>
      <c r="G226" s="13">
        <v>38782</v>
      </c>
      <c r="H226" s="9">
        <f>3100*1.22</f>
        <v>3782</v>
      </c>
      <c r="I226" s="11">
        <v>35000</v>
      </c>
      <c r="J226" s="11">
        <v>0</v>
      </c>
      <c r="K226" s="9">
        <v>0</v>
      </c>
      <c r="L226" s="9">
        <v>0</v>
      </c>
      <c r="M226" s="9">
        <v>0</v>
      </c>
      <c r="N226" s="9">
        <v>0</v>
      </c>
      <c r="O226" s="14">
        <f>SUM(J226:N226)</f>
        <v>0</v>
      </c>
      <c r="P226" s="12">
        <f>G226-H226-I226-O226</f>
        <v>0</v>
      </c>
      <c r="Q226" s="62"/>
    </row>
    <row r="227" spans="1:17" s="10" customFormat="1" ht="12.75" customHeight="1" hidden="1">
      <c r="A227" s="98"/>
      <c r="B227" s="98"/>
      <c r="C227" s="101"/>
      <c r="D227" s="95"/>
      <c r="E227" s="95"/>
      <c r="F227" s="3" t="s">
        <v>10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14">
        <f>SUM(J227:N227)</f>
        <v>0</v>
      </c>
      <c r="P227" s="12">
        <f>G227-H227-I227-O227</f>
        <v>0</v>
      </c>
      <c r="Q227" s="62"/>
    </row>
    <row r="228" spans="1:17" s="10" customFormat="1" ht="12.75" customHeight="1" hidden="1">
      <c r="A228" s="99"/>
      <c r="B228" s="99"/>
      <c r="C228" s="102"/>
      <c r="D228" s="96"/>
      <c r="E228" s="96"/>
      <c r="F228" s="3" t="s">
        <v>38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14">
        <f>SUM(J228:N228)</f>
        <v>0</v>
      </c>
      <c r="P228" s="12">
        <f>G228-H228-I228-O228</f>
        <v>0</v>
      </c>
      <c r="Q228" s="62"/>
    </row>
    <row r="229" spans="1:17" s="10" customFormat="1" ht="39.75" customHeight="1">
      <c r="A229" s="97">
        <v>39</v>
      </c>
      <c r="B229" s="97">
        <v>51</v>
      </c>
      <c r="C229" s="100" t="s">
        <v>89</v>
      </c>
      <c r="D229" s="94">
        <v>2007</v>
      </c>
      <c r="E229" s="94">
        <v>2009</v>
      </c>
      <c r="F229" s="23" t="s">
        <v>110</v>
      </c>
      <c r="G229" s="11">
        <f>SUBTOTAL(9,G230:G232)</f>
        <v>431506</v>
      </c>
      <c r="H229" s="11">
        <f>SUBTOTAL(9,H230:H232)</f>
        <v>61506</v>
      </c>
      <c r="I229" s="11">
        <f aca="true" t="shared" si="67" ref="I229:P229">SUBTOTAL(9,I230:I232)</f>
        <v>240000</v>
      </c>
      <c r="J229" s="11">
        <f t="shared" si="67"/>
        <v>130000</v>
      </c>
      <c r="K229" s="11">
        <f t="shared" si="67"/>
        <v>0</v>
      </c>
      <c r="L229" s="11">
        <f t="shared" si="67"/>
        <v>0</v>
      </c>
      <c r="M229" s="11">
        <f t="shared" si="67"/>
        <v>0</v>
      </c>
      <c r="N229" s="11">
        <f t="shared" si="67"/>
        <v>0</v>
      </c>
      <c r="O229" s="11">
        <f t="shared" si="67"/>
        <v>130000</v>
      </c>
      <c r="P229" s="11">
        <f t="shared" si="67"/>
        <v>0</v>
      </c>
      <c r="Q229" s="61"/>
    </row>
    <row r="230" spans="1:17" s="10" customFormat="1" ht="12.75" customHeight="1" hidden="1">
      <c r="A230" s="98"/>
      <c r="B230" s="98"/>
      <c r="C230" s="101"/>
      <c r="D230" s="95"/>
      <c r="E230" s="95"/>
      <c r="F230" s="23" t="s">
        <v>8</v>
      </c>
      <c r="G230" s="13">
        <v>431506</v>
      </c>
      <c r="H230" s="9">
        <v>61506</v>
      </c>
      <c r="I230" s="11">
        <v>240000</v>
      </c>
      <c r="J230" s="11">
        <v>130000</v>
      </c>
      <c r="K230" s="9">
        <v>0</v>
      </c>
      <c r="L230" s="9">
        <v>0</v>
      </c>
      <c r="M230" s="9">
        <v>0</v>
      </c>
      <c r="N230" s="9">
        <v>0</v>
      </c>
      <c r="O230" s="14">
        <f>SUM(J230:N230)</f>
        <v>130000</v>
      </c>
      <c r="P230" s="12">
        <f>G230-H230-I230-O230</f>
        <v>0</v>
      </c>
      <c r="Q230" s="62"/>
    </row>
    <row r="231" spans="1:17" s="10" customFormat="1" ht="12.75" customHeight="1" hidden="1">
      <c r="A231" s="98"/>
      <c r="B231" s="98"/>
      <c r="C231" s="101"/>
      <c r="D231" s="95"/>
      <c r="E231" s="95"/>
      <c r="F231" s="3" t="s">
        <v>10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14">
        <f>SUM(J231:N231)</f>
        <v>0</v>
      </c>
      <c r="P231" s="12">
        <f>G231-H231-I231-O231</f>
        <v>0</v>
      </c>
      <c r="Q231" s="62"/>
    </row>
    <row r="232" spans="1:17" s="10" customFormat="1" ht="12.75" customHeight="1" hidden="1">
      <c r="A232" s="99"/>
      <c r="B232" s="99"/>
      <c r="C232" s="102"/>
      <c r="D232" s="96"/>
      <c r="E232" s="96"/>
      <c r="F232" s="3" t="s">
        <v>38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14">
        <f>SUM(J232:N232)</f>
        <v>0</v>
      </c>
      <c r="P232" s="12">
        <f>G232-H232-I232-O232</f>
        <v>0</v>
      </c>
      <c r="Q232" s="62"/>
    </row>
    <row r="233" spans="1:17" s="10" customFormat="1" ht="49.5" customHeight="1">
      <c r="A233" s="97">
        <v>41</v>
      </c>
      <c r="B233" s="97">
        <v>52</v>
      </c>
      <c r="C233" s="100" t="s">
        <v>90</v>
      </c>
      <c r="D233" s="94">
        <v>2008</v>
      </c>
      <c r="E233" s="94">
        <v>2008</v>
      </c>
      <c r="F233" s="23" t="s">
        <v>110</v>
      </c>
      <c r="G233" s="11">
        <f>SUBTOTAL(9,G234:G236)</f>
        <v>330000</v>
      </c>
      <c r="H233" s="11">
        <f>SUBTOTAL(9,H234:H236)</f>
        <v>0</v>
      </c>
      <c r="I233" s="11">
        <f aca="true" t="shared" si="68" ref="I233:P233">SUBTOTAL(9,I234:I236)</f>
        <v>330000</v>
      </c>
      <c r="J233" s="11">
        <f t="shared" si="68"/>
        <v>0</v>
      </c>
      <c r="K233" s="11">
        <f t="shared" si="68"/>
        <v>0</v>
      </c>
      <c r="L233" s="11">
        <f t="shared" si="68"/>
        <v>0</v>
      </c>
      <c r="M233" s="11">
        <f t="shared" si="68"/>
        <v>0</v>
      </c>
      <c r="N233" s="11">
        <f t="shared" si="68"/>
        <v>0</v>
      </c>
      <c r="O233" s="11">
        <f t="shared" si="68"/>
        <v>0</v>
      </c>
      <c r="P233" s="11">
        <f t="shared" si="68"/>
        <v>0</v>
      </c>
      <c r="Q233" s="61"/>
    </row>
    <row r="234" spans="1:17" s="10" customFormat="1" ht="12.75" customHeight="1" hidden="1">
      <c r="A234" s="98"/>
      <c r="B234" s="98"/>
      <c r="C234" s="101"/>
      <c r="D234" s="95"/>
      <c r="E234" s="95"/>
      <c r="F234" s="23" t="s">
        <v>8</v>
      </c>
      <c r="G234" s="13">
        <v>330000</v>
      </c>
      <c r="H234" s="9">
        <v>0</v>
      </c>
      <c r="I234" s="11">
        <v>330000</v>
      </c>
      <c r="J234" s="11">
        <v>0</v>
      </c>
      <c r="K234" s="9">
        <v>0</v>
      </c>
      <c r="L234" s="9">
        <v>0</v>
      </c>
      <c r="M234" s="9">
        <v>0</v>
      </c>
      <c r="N234" s="9">
        <v>0</v>
      </c>
      <c r="O234" s="14">
        <f>SUM(J234:N234)</f>
        <v>0</v>
      </c>
      <c r="P234" s="12">
        <f>G234-H234-I234-O234</f>
        <v>0</v>
      </c>
      <c r="Q234" s="62"/>
    </row>
    <row r="235" spans="1:17" s="10" customFormat="1" ht="12.75" customHeight="1" hidden="1">
      <c r="A235" s="98"/>
      <c r="B235" s="98"/>
      <c r="C235" s="101"/>
      <c r="D235" s="95"/>
      <c r="E235" s="95"/>
      <c r="F235" s="3" t="s">
        <v>10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14">
        <f>SUM(J235:N235)</f>
        <v>0</v>
      </c>
      <c r="P235" s="12">
        <f>G235-H235-I235-O235</f>
        <v>0</v>
      </c>
      <c r="Q235" s="62"/>
    </row>
    <row r="236" spans="1:17" s="10" customFormat="1" ht="12.75" customHeight="1" hidden="1">
      <c r="A236" s="99"/>
      <c r="B236" s="99"/>
      <c r="C236" s="102"/>
      <c r="D236" s="96"/>
      <c r="E236" s="96"/>
      <c r="F236" s="3" t="s">
        <v>38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14">
        <f>SUM(J236:N236)</f>
        <v>0</v>
      </c>
      <c r="P236" s="12">
        <f>G236-H236-I236-O236</f>
        <v>0</v>
      </c>
      <c r="Q236" s="62"/>
    </row>
    <row r="237" spans="1:17" s="10" customFormat="1" ht="39.75" customHeight="1">
      <c r="A237" s="97">
        <v>42</v>
      </c>
      <c r="B237" s="97">
        <v>53</v>
      </c>
      <c r="C237" s="100" t="s">
        <v>18</v>
      </c>
      <c r="D237" s="94">
        <v>2008</v>
      </c>
      <c r="E237" s="94">
        <v>2011</v>
      </c>
      <c r="F237" s="23" t="s">
        <v>110</v>
      </c>
      <c r="G237" s="11">
        <f>SUBTOTAL(9,G238:G240)</f>
        <v>1500000</v>
      </c>
      <c r="H237" s="11">
        <f>SUBTOTAL(9,H238:H240)</f>
        <v>0</v>
      </c>
      <c r="I237" s="11">
        <f aca="true" t="shared" si="69" ref="I237:P237">SUBTOTAL(9,I238:I240)</f>
        <v>50000</v>
      </c>
      <c r="J237" s="11">
        <f t="shared" si="69"/>
        <v>500000</v>
      </c>
      <c r="K237" s="11">
        <f t="shared" si="69"/>
        <v>500000</v>
      </c>
      <c r="L237" s="11">
        <f t="shared" si="69"/>
        <v>450000</v>
      </c>
      <c r="M237" s="11">
        <f t="shared" si="69"/>
        <v>0</v>
      </c>
      <c r="N237" s="11">
        <f t="shared" si="69"/>
        <v>0</v>
      </c>
      <c r="O237" s="11">
        <f t="shared" si="69"/>
        <v>1450000</v>
      </c>
      <c r="P237" s="11">
        <f t="shared" si="69"/>
        <v>0</v>
      </c>
      <c r="Q237" s="60"/>
    </row>
    <row r="238" spans="1:17" s="10" customFormat="1" ht="12.75" customHeight="1" hidden="1">
      <c r="A238" s="98"/>
      <c r="B238" s="98"/>
      <c r="C238" s="101"/>
      <c r="D238" s="95"/>
      <c r="E238" s="95"/>
      <c r="F238" s="23" t="s">
        <v>8</v>
      </c>
      <c r="G238" s="13">
        <v>1500000</v>
      </c>
      <c r="H238" s="9">
        <v>0</v>
      </c>
      <c r="I238" s="11">
        <v>50000</v>
      </c>
      <c r="J238" s="11">
        <v>500000</v>
      </c>
      <c r="K238" s="11">
        <v>500000</v>
      </c>
      <c r="L238" s="9">
        <v>450000</v>
      </c>
      <c r="M238" s="9">
        <v>0</v>
      </c>
      <c r="N238" s="9">
        <v>0</v>
      </c>
      <c r="O238" s="14">
        <f>SUM(J238:N238)</f>
        <v>1450000</v>
      </c>
      <c r="P238" s="12">
        <f>G238-H238-I238-O238</f>
        <v>0</v>
      </c>
      <c r="Q238" s="60"/>
    </row>
    <row r="239" spans="1:17" s="10" customFormat="1" ht="12.75" customHeight="1" hidden="1">
      <c r="A239" s="98"/>
      <c r="B239" s="98"/>
      <c r="C239" s="101"/>
      <c r="D239" s="95"/>
      <c r="E239" s="95"/>
      <c r="F239" s="3" t="s">
        <v>10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14">
        <f>SUM(J239:N239)</f>
        <v>0</v>
      </c>
      <c r="P239" s="12">
        <f>G239-H239-I239-O239</f>
        <v>0</v>
      </c>
      <c r="Q239" s="60"/>
    </row>
    <row r="240" spans="1:17" s="10" customFormat="1" ht="12.75" customHeight="1" hidden="1">
      <c r="A240" s="99"/>
      <c r="B240" s="99"/>
      <c r="C240" s="102"/>
      <c r="D240" s="96"/>
      <c r="E240" s="96"/>
      <c r="F240" s="3" t="s">
        <v>38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14">
        <f>SUM(J240:N240)</f>
        <v>0</v>
      </c>
      <c r="P240" s="12">
        <f>G240-H240-I240-O240</f>
        <v>0</v>
      </c>
      <c r="Q240" s="60"/>
    </row>
    <row r="241" spans="1:16" s="10" customFormat="1" ht="49.5" customHeight="1">
      <c r="A241" s="97">
        <v>43</v>
      </c>
      <c r="B241" s="97">
        <v>54</v>
      </c>
      <c r="C241" s="100" t="s">
        <v>22</v>
      </c>
      <c r="D241" s="94">
        <v>2008</v>
      </c>
      <c r="E241" s="94">
        <v>2010</v>
      </c>
      <c r="F241" s="23" t="s">
        <v>110</v>
      </c>
      <c r="G241" s="11">
        <f>SUBTOTAL(9,G242:G244)</f>
        <v>150000</v>
      </c>
      <c r="H241" s="11">
        <f>SUBTOTAL(9,H242:H244)</f>
        <v>0</v>
      </c>
      <c r="I241" s="11">
        <f aca="true" t="shared" si="70" ref="I241:P241">SUBTOTAL(9,I242:I244)</f>
        <v>30000</v>
      </c>
      <c r="J241" s="11">
        <f t="shared" si="70"/>
        <v>70000</v>
      </c>
      <c r="K241" s="11">
        <f t="shared" si="70"/>
        <v>50000</v>
      </c>
      <c r="L241" s="11">
        <f t="shared" si="70"/>
        <v>0</v>
      </c>
      <c r="M241" s="11">
        <f t="shared" si="70"/>
        <v>0</v>
      </c>
      <c r="N241" s="11">
        <f t="shared" si="70"/>
        <v>0</v>
      </c>
      <c r="O241" s="11">
        <f t="shared" si="70"/>
        <v>120000</v>
      </c>
      <c r="P241" s="11">
        <f t="shared" si="70"/>
        <v>0</v>
      </c>
    </row>
    <row r="242" spans="1:16" s="10" customFormat="1" ht="12.75" customHeight="1" hidden="1">
      <c r="A242" s="98"/>
      <c r="B242" s="98"/>
      <c r="C242" s="101"/>
      <c r="D242" s="95"/>
      <c r="E242" s="95"/>
      <c r="F242" s="23" t="s">
        <v>8</v>
      </c>
      <c r="G242" s="13">
        <v>150000</v>
      </c>
      <c r="H242" s="9">
        <v>0</v>
      </c>
      <c r="I242" s="11">
        <v>30000</v>
      </c>
      <c r="J242" s="11">
        <v>70000</v>
      </c>
      <c r="K242" s="11">
        <v>50000</v>
      </c>
      <c r="L242" s="9">
        <v>0</v>
      </c>
      <c r="M242" s="9">
        <v>0</v>
      </c>
      <c r="N242" s="9">
        <v>0</v>
      </c>
      <c r="O242" s="14">
        <f>SUM(J242:N242)</f>
        <v>120000</v>
      </c>
      <c r="P242" s="12">
        <f>G242-H242-I242-O242</f>
        <v>0</v>
      </c>
    </row>
    <row r="243" spans="1:16" s="10" customFormat="1" ht="12.75" customHeight="1" hidden="1">
      <c r="A243" s="98"/>
      <c r="B243" s="98"/>
      <c r="C243" s="101"/>
      <c r="D243" s="95"/>
      <c r="E243" s="95"/>
      <c r="F243" s="3" t="s">
        <v>10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14">
        <f>SUM(J243:N243)</f>
        <v>0</v>
      </c>
      <c r="P243" s="12">
        <f>G243-H243-I243-O243</f>
        <v>0</v>
      </c>
    </row>
    <row r="244" spans="1:16" s="10" customFormat="1" ht="12.75" customHeight="1" hidden="1">
      <c r="A244" s="99"/>
      <c r="B244" s="99"/>
      <c r="C244" s="102"/>
      <c r="D244" s="96"/>
      <c r="E244" s="96"/>
      <c r="F244" s="3" t="s">
        <v>38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14">
        <f>SUM(J244:N244)</f>
        <v>0</v>
      </c>
      <c r="P244" s="12">
        <f>G244-H244-I244-O244</f>
        <v>0</v>
      </c>
    </row>
    <row r="245" spans="1:16" s="10" customFormat="1" ht="39.75" customHeight="1">
      <c r="A245" s="97">
        <v>44</v>
      </c>
      <c r="B245" s="97">
        <v>55</v>
      </c>
      <c r="C245" s="100" t="s">
        <v>20</v>
      </c>
      <c r="D245" s="94">
        <v>2007</v>
      </c>
      <c r="E245" s="94">
        <v>2013</v>
      </c>
      <c r="F245" s="23" t="s">
        <v>110</v>
      </c>
      <c r="G245" s="11">
        <f>SUBTOTAL(9,G246:G248)</f>
        <v>1215850</v>
      </c>
      <c r="H245" s="11">
        <f>SUBTOTAL(9,H246:H248)</f>
        <v>15850</v>
      </c>
      <c r="I245" s="11">
        <f aca="true" t="shared" si="71" ref="I245:O245">SUBTOTAL(9,I246:I248)</f>
        <v>200000</v>
      </c>
      <c r="J245" s="11">
        <f t="shared" si="71"/>
        <v>200000</v>
      </c>
      <c r="K245" s="11">
        <f t="shared" si="71"/>
        <v>200000</v>
      </c>
      <c r="L245" s="11">
        <f t="shared" si="71"/>
        <v>200000</v>
      </c>
      <c r="M245" s="11">
        <f t="shared" si="71"/>
        <v>200000</v>
      </c>
      <c r="N245" s="11">
        <f t="shared" si="71"/>
        <v>200000</v>
      </c>
      <c r="O245" s="11">
        <f t="shared" si="71"/>
        <v>1000000</v>
      </c>
      <c r="P245" s="11">
        <f>SUBTOTAL(9,P246:P248)</f>
        <v>0</v>
      </c>
    </row>
    <row r="246" spans="1:16" s="10" customFormat="1" ht="12.75" customHeight="1" hidden="1">
      <c r="A246" s="98"/>
      <c r="B246" s="98"/>
      <c r="C246" s="101"/>
      <c r="D246" s="95"/>
      <c r="E246" s="95"/>
      <c r="F246" s="23" t="s">
        <v>8</v>
      </c>
      <c r="G246" s="13">
        <v>1215850</v>
      </c>
      <c r="H246" s="13">
        <v>15850</v>
      </c>
      <c r="I246" s="11">
        <v>200000</v>
      </c>
      <c r="J246" s="11">
        <v>200000</v>
      </c>
      <c r="K246" s="11">
        <v>200000</v>
      </c>
      <c r="L246" s="11">
        <v>200000</v>
      </c>
      <c r="M246" s="11">
        <v>200000</v>
      </c>
      <c r="N246" s="11">
        <v>200000</v>
      </c>
      <c r="O246" s="14">
        <f>SUM(J246:N246)</f>
        <v>1000000</v>
      </c>
      <c r="P246" s="12">
        <f>G246-H246-I246-O246</f>
        <v>0</v>
      </c>
    </row>
    <row r="247" spans="1:16" s="10" customFormat="1" ht="12.75" customHeight="1" hidden="1">
      <c r="A247" s="98"/>
      <c r="B247" s="98"/>
      <c r="C247" s="101"/>
      <c r="D247" s="95"/>
      <c r="E247" s="95"/>
      <c r="F247" s="3" t="s">
        <v>10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14">
        <f>SUM(J247:N247)</f>
        <v>0</v>
      </c>
      <c r="P247" s="12">
        <f>G247-H247-I247-O247</f>
        <v>0</v>
      </c>
    </row>
    <row r="248" spans="1:16" s="10" customFormat="1" ht="12.75" customHeight="1" hidden="1">
      <c r="A248" s="99"/>
      <c r="B248" s="99"/>
      <c r="C248" s="102"/>
      <c r="D248" s="96"/>
      <c r="E248" s="96"/>
      <c r="F248" s="3" t="s">
        <v>38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14">
        <f>SUM(J248:N248)</f>
        <v>0</v>
      </c>
      <c r="P248" s="12">
        <f>G248-H248-I248-O248</f>
        <v>0</v>
      </c>
    </row>
    <row r="249" spans="1:17" s="10" customFormat="1" ht="39.75" customHeight="1">
      <c r="A249" s="97">
        <v>39</v>
      </c>
      <c r="B249" s="97">
        <v>56</v>
      </c>
      <c r="C249" s="103" t="s">
        <v>40</v>
      </c>
      <c r="D249" s="94">
        <v>2009</v>
      </c>
      <c r="E249" s="94">
        <v>2009</v>
      </c>
      <c r="F249" s="23" t="s">
        <v>110</v>
      </c>
      <c r="G249" s="11">
        <f>SUBTOTAL(9,G250:G252)</f>
        <v>55000</v>
      </c>
      <c r="H249" s="11">
        <f>SUBTOTAL(9,H250:H252)</f>
        <v>0</v>
      </c>
      <c r="I249" s="11">
        <f aca="true" t="shared" si="72" ref="I249:P249">SUBTOTAL(9,I250:I252)</f>
        <v>0</v>
      </c>
      <c r="J249" s="11">
        <f t="shared" si="72"/>
        <v>55000</v>
      </c>
      <c r="K249" s="11">
        <f t="shared" si="72"/>
        <v>0</v>
      </c>
      <c r="L249" s="11">
        <f t="shared" si="72"/>
        <v>0</v>
      </c>
      <c r="M249" s="11">
        <f t="shared" si="72"/>
        <v>0</v>
      </c>
      <c r="N249" s="11">
        <f t="shared" si="72"/>
        <v>0</v>
      </c>
      <c r="O249" s="11">
        <f t="shared" si="72"/>
        <v>55000</v>
      </c>
      <c r="P249" s="11">
        <f t="shared" si="72"/>
        <v>0</v>
      </c>
      <c r="Q249" s="60"/>
    </row>
    <row r="250" spans="1:17" s="10" customFormat="1" ht="12.75" customHeight="1" hidden="1">
      <c r="A250" s="98"/>
      <c r="B250" s="98"/>
      <c r="C250" s="104"/>
      <c r="D250" s="95"/>
      <c r="E250" s="95"/>
      <c r="F250" s="23" t="s">
        <v>8</v>
      </c>
      <c r="G250" s="13">
        <v>55000</v>
      </c>
      <c r="H250" s="9">
        <v>0</v>
      </c>
      <c r="I250" s="11">
        <v>0</v>
      </c>
      <c r="J250" s="9">
        <v>55000</v>
      </c>
      <c r="K250" s="9">
        <v>0</v>
      </c>
      <c r="L250" s="9">
        <v>0</v>
      </c>
      <c r="M250" s="9">
        <v>0</v>
      </c>
      <c r="N250" s="9">
        <v>0</v>
      </c>
      <c r="O250" s="14">
        <f>SUM(J250:N250)</f>
        <v>55000</v>
      </c>
      <c r="P250" s="12">
        <f>G250-H250-I250-O250</f>
        <v>0</v>
      </c>
      <c r="Q250" s="60"/>
    </row>
    <row r="251" spans="1:17" s="10" customFormat="1" ht="12.75" customHeight="1" hidden="1">
      <c r="A251" s="98"/>
      <c r="B251" s="98"/>
      <c r="C251" s="104"/>
      <c r="D251" s="95"/>
      <c r="E251" s="95"/>
      <c r="F251" s="3" t="s">
        <v>10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14">
        <f>SUM(J251:N251)</f>
        <v>0</v>
      </c>
      <c r="P251" s="12">
        <f>G251-H251-I251-O251</f>
        <v>0</v>
      </c>
      <c r="Q251" s="60"/>
    </row>
    <row r="252" spans="1:17" s="10" customFormat="1" ht="12.75" customHeight="1" hidden="1">
      <c r="A252" s="99"/>
      <c r="B252" s="99"/>
      <c r="C252" s="105"/>
      <c r="D252" s="96"/>
      <c r="E252" s="96"/>
      <c r="F252" s="3" t="s">
        <v>38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14">
        <f>SUM(J252:N252)</f>
        <v>0</v>
      </c>
      <c r="P252" s="12">
        <f>G252-H252-I252-O252</f>
        <v>0</v>
      </c>
      <c r="Q252" s="60"/>
    </row>
    <row r="253" spans="1:16" s="10" customFormat="1" ht="30" customHeight="1">
      <c r="A253" s="97">
        <v>49</v>
      </c>
      <c r="B253" s="77">
        <v>57</v>
      </c>
      <c r="C253" s="78" t="s">
        <v>83</v>
      </c>
      <c r="D253" s="79">
        <v>2009</v>
      </c>
      <c r="E253" s="79">
        <v>2009</v>
      </c>
      <c r="F253" s="23" t="s">
        <v>110</v>
      </c>
      <c r="G253" s="11">
        <f>SUBTOTAL(9,G254:G256)</f>
        <v>43000</v>
      </c>
      <c r="H253" s="11">
        <f>SUBTOTAL(9,H254:H256)</f>
        <v>0</v>
      </c>
      <c r="I253" s="11">
        <f aca="true" t="shared" si="73" ref="I253:O253">SUBTOTAL(9,I254:I256)</f>
        <v>0</v>
      </c>
      <c r="J253" s="11">
        <f t="shared" si="73"/>
        <v>43000</v>
      </c>
      <c r="K253" s="11">
        <f t="shared" si="73"/>
        <v>0</v>
      </c>
      <c r="L253" s="11">
        <f t="shared" si="73"/>
        <v>0</v>
      </c>
      <c r="M253" s="11">
        <f t="shared" si="73"/>
        <v>0</v>
      </c>
      <c r="N253" s="11">
        <f t="shared" si="73"/>
        <v>0</v>
      </c>
      <c r="O253" s="11">
        <f t="shared" si="73"/>
        <v>43000</v>
      </c>
      <c r="P253" s="35">
        <f>SUBTOTAL(9,P254:P256)</f>
        <v>0</v>
      </c>
    </row>
    <row r="254" spans="1:16" s="10" customFormat="1" ht="12.75" customHeight="1" hidden="1">
      <c r="A254" s="98"/>
      <c r="B254" s="73"/>
      <c r="C254" s="71"/>
      <c r="D254" s="75"/>
      <c r="E254" s="75"/>
      <c r="F254" s="23" t="s">
        <v>8</v>
      </c>
      <c r="G254" s="9">
        <v>43000</v>
      </c>
      <c r="H254" s="9">
        <v>0</v>
      </c>
      <c r="I254" s="9">
        <v>0</v>
      </c>
      <c r="J254" s="9">
        <v>43000</v>
      </c>
      <c r="K254" s="9">
        <v>0</v>
      </c>
      <c r="L254" s="9">
        <v>0</v>
      </c>
      <c r="M254" s="9">
        <v>0</v>
      </c>
      <c r="N254" s="9">
        <v>0</v>
      </c>
      <c r="O254" s="14">
        <f>SUM(J254:N254)</f>
        <v>43000</v>
      </c>
      <c r="P254" s="12">
        <f>G254-H254-I254-O254</f>
        <v>0</v>
      </c>
    </row>
    <row r="255" spans="1:16" s="10" customFormat="1" ht="12.75" customHeight="1" hidden="1">
      <c r="A255" s="98"/>
      <c r="B255" s="73"/>
      <c r="C255" s="71"/>
      <c r="D255" s="75"/>
      <c r="E255" s="75"/>
      <c r="F255" s="3" t="s">
        <v>10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14">
        <f>SUM(J255:N255)</f>
        <v>0</v>
      </c>
      <c r="P255" s="12">
        <f>G255-H255-I255-O255</f>
        <v>0</v>
      </c>
    </row>
    <row r="256" spans="1:16" s="10" customFormat="1" ht="12.75" customHeight="1" hidden="1">
      <c r="A256" s="99"/>
      <c r="B256" s="74"/>
      <c r="C256" s="72"/>
      <c r="D256" s="76"/>
      <c r="E256" s="76"/>
      <c r="F256" s="3" t="s">
        <v>38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14">
        <f>SUM(J256:N256)</f>
        <v>0</v>
      </c>
      <c r="P256" s="12">
        <f>G256-H256-I256-O256</f>
        <v>0</v>
      </c>
    </row>
    <row r="257" spans="1:16" s="10" customFormat="1" ht="30" customHeight="1">
      <c r="A257" s="97">
        <v>49</v>
      </c>
      <c r="B257" s="97">
        <v>58</v>
      </c>
      <c r="C257" s="100" t="s">
        <v>91</v>
      </c>
      <c r="D257" s="94">
        <v>2009</v>
      </c>
      <c r="E257" s="94">
        <v>2009</v>
      </c>
      <c r="F257" s="23" t="s">
        <v>110</v>
      </c>
      <c r="G257" s="11">
        <f>SUBTOTAL(9,G258:G260)</f>
        <v>35000</v>
      </c>
      <c r="H257" s="11">
        <f>SUBTOTAL(9,H258:H260)</f>
        <v>0</v>
      </c>
      <c r="I257" s="11">
        <f aca="true" t="shared" si="74" ref="I257:O257">SUBTOTAL(9,I258:I260)</f>
        <v>0</v>
      </c>
      <c r="J257" s="11">
        <f t="shared" si="74"/>
        <v>35000</v>
      </c>
      <c r="K257" s="11">
        <f t="shared" si="74"/>
        <v>0</v>
      </c>
      <c r="L257" s="11">
        <f t="shared" si="74"/>
        <v>0</v>
      </c>
      <c r="M257" s="11">
        <f t="shared" si="74"/>
        <v>0</v>
      </c>
      <c r="N257" s="11">
        <f t="shared" si="74"/>
        <v>0</v>
      </c>
      <c r="O257" s="11">
        <f t="shared" si="74"/>
        <v>35000</v>
      </c>
      <c r="P257" s="35">
        <f>SUBTOTAL(9,P258:P260)</f>
        <v>0</v>
      </c>
    </row>
    <row r="258" spans="1:16" s="10" customFormat="1" ht="12.75" customHeight="1" hidden="1">
      <c r="A258" s="98"/>
      <c r="B258" s="98"/>
      <c r="C258" s="101"/>
      <c r="D258" s="95"/>
      <c r="E258" s="95"/>
      <c r="F258" s="23" t="s">
        <v>8</v>
      </c>
      <c r="G258" s="9">
        <v>35000</v>
      </c>
      <c r="H258" s="9">
        <v>0</v>
      </c>
      <c r="I258" s="9">
        <v>0</v>
      </c>
      <c r="J258" s="9">
        <v>35000</v>
      </c>
      <c r="K258" s="9">
        <v>0</v>
      </c>
      <c r="L258" s="9">
        <v>0</v>
      </c>
      <c r="M258" s="9">
        <v>0</v>
      </c>
      <c r="N258" s="9">
        <v>0</v>
      </c>
      <c r="O258" s="14">
        <f>SUM(J258:N258)</f>
        <v>35000</v>
      </c>
      <c r="P258" s="12">
        <f>G258-H258-I258-O258</f>
        <v>0</v>
      </c>
    </row>
    <row r="259" spans="1:16" s="10" customFormat="1" ht="12.75" customHeight="1" hidden="1">
      <c r="A259" s="98"/>
      <c r="B259" s="98"/>
      <c r="C259" s="101"/>
      <c r="D259" s="95"/>
      <c r="E259" s="95"/>
      <c r="F259" s="3" t="s">
        <v>10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14">
        <f>SUM(J259:N259)</f>
        <v>0</v>
      </c>
      <c r="P259" s="12">
        <f>G259-H259-I259-O259</f>
        <v>0</v>
      </c>
    </row>
    <row r="260" spans="1:16" s="10" customFormat="1" ht="12.75" customHeight="1" hidden="1">
      <c r="A260" s="99"/>
      <c r="B260" s="99"/>
      <c r="C260" s="102"/>
      <c r="D260" s="96"/>
      <c r="E260" s="96"/>
      <c r="F260" s="3" t="s">
        <v>38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14">
        <f>SUM(J260:N260)</f>
        <v>0</v>
      </c>
      <c r="P260" s="12">
        <f>G260-H260-I260-O260</f>
        <v>0</v>
      </c>
    </row>
    <row r="261" spans="1:16" s="10" customFormat="1" ht="39.75" customHeight="1">
      <c r="A261" s="97">
        <v>49</v>
      </c>
      <c r="B261" s="97">
        <v>59</v>
      </c>
      <c r="C261" s="100" t="s">
        <v>92</v>
      </c>
      <c r="D261" s="94">
        <v>2009</v>
      </c>
      <c r="E261" s="94">
        <v>2010</v>
      </c>
      <c r="F261" s="23" t="s">
        <v>110</v>
      </c>
      <c r="G261" s="11">
        <f>SUBTOTAL(9,G262:G264)</f>
        <v>1400000</v>
      </c>
      <c r="H261" s="11">
        <f>SUBTOTAL(9,H262:H264)</f>
        <v>0</v>
      </c>
      <c r="I261" s="11">
        <f aca="true" t="shared" si="75" ref="I261:O261">SUBTOTAL(9,I262:I264)</f>
        <v>0</v>
      </c>
      <c r="J261" s="11">
        <f t="shared" si="75"/>
        <v>50000</v>
      </c>
      <c r="K261" s="11">
        <f t="shared" si="75"/>
        <v>1350000</v>
      </c>
      <c r="L261" s="11">
        <f t="shared" si="75"/>
        <v>0</v>
      </c>
      <c r="M261" s="11">
        <f t="shared" si="75"/>
        <v>0</v>
      </c>
      <c r="N261" s="11">
        <f t="shared" si="75"/>
        <v>0</v>
      </c>
      <c r="O261" s="11">
        <f t="shared" si="75"/>
        <v>1400000</v>
      </c>
      <c r="P261" s="35">
        <f>SUBTOTAL(9,P262:P264)</f>
        <v>0</v>
      </c>
    </row>
    <row r="262" spans="1:16" s="10" customFormat="1" ht="12.75" customHeight="1" hidden="1">
      <c r="A262" s="98"/>
      <c r="B262" s="98"/>
      <c r="C262" s="101"/>
      <c r="D262" s="95"/>
      <c r="E262" s="95"/>
      <c r="F262" s="23" t="s">
        <v>8</v>
      </c>
      <c r="G262" s="9">
        <v>1400000</v>
      </c>
      <c r="H262" s="9">
        <v>0</v>
      </c>
      <c r="I262" s="9">
        <v>0</v>
      </c>
      <c r="J262" s="9">
        <v>50000</v>
      </c>
      <c r="K262" s="9">
        <v>1350000</v>
      </c>
      <c r="L262" s="9">
        <v>0</v>
      </c>
      <c r="M262" s="9">
        <v>0</v>
      </c>
      <c r="N262" s="9">
        <v>0</v>
      </c>
      <c r="O262" s="14">
        <f>SUM(J262:N262)</f>
        <v>1400000</v>
      </c>
      <c r="P262" s="12">
        <f>G262-H262-I262-O262</f>
        <v>0</v>
      </c>
    </row>
    <row r="263" spans="1:16" s="10" customFormat="1" ht="12.75" customHeight="1" hidden="1">
      <c r="A263" s="98"/>
      <c r="B263" s="98"/>
      <c r="C263" s="101"/>
      <c r="D263" s="95"/>
      <c r="E263" s="95"/>
      <c r="F263" s="3" t="s">
        <v>10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14">
        <f>SUM(J263:N263)</f>
        <v>0</v>
      </c>
      <c r="P263" s="12">
        <f>G263-H263-I263-O263</f>
        <v>0</v>
      </c>
    </row>
    <row r="264" spans="1:16" s="10" customFormat="1" ht="12.75" customHeight="1" hidden="1">
      <c r="A264" s="99"/>
      <c r="B264" s="99"/>
      <c r="C264" s="102"/>
      <c r="D264" s="96"/>
      <c r="E264" s="96"/>
      <c r="F264" s="3" t="s">
        <v>38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14">
        <f>SUM(J264:N264)</f>
        <v>0</v>
      </c>
      <c r="P264" s="12">
        <f>G264-H264-I264-O264</f>
        <v>0</v>
      </c>
    </row>
    <row r="265" spans="1:16" s="10" customFormat="1" ht="39.75" customHeight="1">
      <c r="A265" s="97">
        <v>49</v>
      </c>
      <c r="B265" s="97">
        <v>60</v>
      </c>
      <c r="C265" s="100" t="s">
        <v>84</v>
      </c>
      <c r="D265" s="94">
        <v>2010</v>
      </c>
      <c r="E265" s="94">
        <v>2010</v>
      </c>
      <c r="F265" s="23" t="s">
        <v>110</v>
      </c>
      <c r="G265" s="11">
        <f>SUBTOTAL(9,G266:G268)</f>
        <v>76000</v>
      </c>
      <c r="H265" s="11">
        <f>SUBTOTAL(9,H266:H268)</f>
        <v>0</v>
      </c>
      <c r="I265" s="11">
        <f aca="true" t="shared" si="76" ref="I265:O265">SUBTOTAL(9,I266:I268)</f>
        <v>0</v>
      </c>
      <c r="J265" s="11">
        <f t="shared" si="76"/>
        <v>0</v>
      </c>
      <c r="K265" s="11">
        <f t="shared" si="76"/>
        <v>76000</v>
      </c>
      <c r="L265" s="11">
        <f t="shared" si="76"/>
        <v>0</v>
      </c>
      <c r="M265" s="11">
        <f t="shared" si="76"/>
        <v>0</v>
      </c>
      <c r="N265" s="11">
        <f t="shared" si="76"/>
        <v>0</v>
      </c>
      <c r="O265" s="11">
        <f t="shared" si="76"/>
        <v>76000</v>
      </c>
      <c r="P265" s="35">
        <f>SUBTOTAL(9,P266:P268)</f>
        <v>0</v>
      </c>
    </row>
    <row r="266" spans="1:16" s="10" customFormat="1" ht="12.75" customHeight="1" hidden="1">
      <c r="A266" s="98"/>
      <c r="B266" s="98"/>
      <c r="C266" s="101"/>
      <c r="D266" s="95"/>
      <c r="E266" s="95"/>
      <c r="F266" s="23" t="s">
        <v>8</v>
      </c>
      <c r="G266" s="9">
        <v>76000</v>
      </c>
      <c r="H266" s="9">
        <v>0</v>
      </c>
      <c r="I266" s="9">
        <v>0</v>
      </c>
      <c r="J266" s="9">
        <v>0</v>
      </c>
      <c r="K266" s="9">
        <v>76000</v>
      </c>
      <c r="L266" s="9">
        <v>0</v>
      </c>
      <c r="M266" s="9">
        <v>0</v>
      </c>
      <c r="N266" s="9">
        <v>0</v>
      </c>
      <c r="O266" s="14">
        <f>SUM(J266:N266)</f>
        <v>76000</v>
      </c>
      <c r="P266" s="12">
        <f>G266-H266-I266-O266</f>
        <v>0</v>
      </c>
    </row>
    <row r="267" spans="1:16" s="10" customFormat="1" ht="12.75" customHeight="1" hidden="1">
      <c r="A267" s="98"/>
      <c r="B267" s="98"/>
      <c r="C267" s="101"/>
      <c r="D267" s="95"/>
      <c r="E267" s="95"/>
      <c r="F267" s="3" t="s">
        <v>10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14">
        <f>SUM(J267:N267)</f>
        <v>0</v>
      </c>
      <c r="P267" s="12">
        <f>G267-H267-I267-O267</f>
        <v>0</v>
      </c>
    </row>
    <row r="268" spans="1:16" s="10" customFormat="1" ht="12.75" customHeight="1" hidden="1">
      <c r="A268" s="99"/>
      <c r="B268" s="99"/>
      <c r="C268" s="102"/>
      <c r="D268" s="96"/>
      <c r="E268" s="96"/>
      <c r="F268" s="3" t="s">
        <v>38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14">
        <f>SUM(J268:N268)</f>
        <v>0</v>
      </c>
      <c r="P268" s="12">
        <f>G268-H268-I268-O268</f>
        <v>0</v>
      </c>
    </row>
    <row r="269" spans="1:16" s="10" customFormat="1" ht="49.5" customHeight="1">
      <c r="A269" s="97">
        <v>48</v>
      </c>
      <c r="B269" s="97">
        <v>61</v>
      </c>
      <c r="C269" s="100" t="s">
        <v>19</v>
      </c>
      <c r="D269" s="94">
        <v>2010</v>
      </c>
      <c r="E269" s="94">
        <v>2010</v>
      </c>
      <c r="F269" s="23" t="s">
        <v>110</v>
      </c>
      <c r="G269" s="11">
        <f>SUBTOTAL(9,G270:G272)</f>
        <v>2500000</v>
      </c>
      <c r="H269" s="11">
        <f>SUBTOTAL(9,H270:H272)</f>
        <v>0</v>
      </c>
      <c r="I269" s="11">
        <f aca="true" t="shared" si="77" ref="I269:P269">SUBTOTAL(9,I270:I272)</f>
        <v>0</v>
      </c>
      <c r="J269" s="11">
        <f t="shared" si="77"/>
        <v>0</v>
      </c>
      <c r="K269" s="11">
        <f t="shared" si="77"/>
        <v>2500000</v>
      </c>
      <c r="L269" s="11">
        <f t="shared" si="77"/>
        <v>0</v>
      </c>
      <c r="M269" s="11">
        <f t="shared" si="77"/>
        <v>0</v>
      </c>
      <c r="N269" s="11">
        <f t="shared" si="77"/>
        <v>0</v>
      </c>
      <c r="O269" s="11">
        <f t="shared" si="77"/>
        <v>2500000</v>
      </c>
      <c r="P269" s="11">
        <f t="shared" si="77"/>
        <v>0</v>
      </c>
    </row>
    <row r="270" spans="1:16" s="10" customFormat="1" ht="12.75" customHeight="1" hidden="1">
      <c r="A270" s="98"/>
      <c r="B270" s="98"/>
      <c r="C270" s="101"/>
      <c r="D270" s="95"/>
      <c r="E270" s="95"/>
      <c r="F270" s="23" t="s">
        <v>8</v>
      </c>
      <c r="G270" s="11">
        <v>2500000</v>
      </c>
      <c r="H270" s="13">
        <v>0</v>
      </c>
      <c r="I270" s="9">
        <v>0</v>
      </c>
      <c r="J270" s="9">
        <v>0</v>
      </c>
      <c r="K270" s="9">
        <v>2500000</v>
      </c>
      <c r="L270" s="11">
        <v>0</v>
      </c>
      <c r="M270" s="13">
        <v>0</v>
      </c>
      <c r="N270" s="13">
        <v>0</v>
      </c>
      <c r="O270" s="14">
        <f>SUM(J270:N270)</f>
        <v>2500000</v>
      </c>
      <c r="P270" s="12">
        <f>G270-H270-I270-O270</f>
        <v>0</v>
      </c>
    </row>
    <row r="271" spans="1:16" s="10" customFormat="1" ht="12.75" customHeight="1" hidden="1">
      <c r="A271" s="98"/>
      <c r="B271" s="98"/>
      <c r="C271" s="101"/>
      <c r="D271" s="95"/>
      <c r="E271" s="95"/>
      <c r="F271" s="3" t="s">
        <v>10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14">
        <f>SUM(J271:N271)</f>
        <v>0</v>
      </c>
      <c r="P271" s="12">
        <f>G271-H271-I271-O271</f>
        <v>0</v>
      </c>
    </row>
    <row r="272" spans="1:16" s="10" customFormat="1" ht="16.5" customHeight="1" hidden="1">
      <c r="A272" s="99"/>
      <c r="B272" s="99"/>
      <c r="C272" s="102"/>
      <c r="D272" s="96"/>
      <c r="E272" s="96"/>
      <c r="F272" s="3" t="s">
        <v>38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14">
        <f>SUM(J272:N272)</f>
        <v>0</v>
      </c>
      <c r="P272" s="12">
        <f>G272-H272-I272-O272</f>
        <v>0</v>
      </c>
    </row>
    <row r="273" spans="1:16" s="10" customFormat="1" ht="39.75" customHeight="1">
      <c r="A273" s="97">
        <v>49</v>
      </c>
      <c r="B273" s="97">
        <v>62</v>
      </c>
      <c r="C273" s="100" t="s">
        <v>21</v>
      </c>
      <c r="D273" s="94">
        <v>2010</v>
      </c>
      <c r="E273" s="94">
        <v>2011</v>
      </c>
      <c r="F273" s="23" t="s">
        <v>110</v>
      </c>
      <c r="G273" s="11">
        <f>SUBTOTAL(9,G274:G276)</f>
        <v>1200000</v>
      </c>
      <c r="H273" s="11">
        <f>SUBTOTAL(9,H274:H276)</f>
        <v>0</v>
      </c>
      <c r="I273" s="11">
        <f aca="true" t="shared" si="78" ref="I273:O273">SUBTOTAL(9,I274:I276)</f>
        <v>0</v>
      </c>
      <c r="J273" s="11">
        <f t="shared" si="78"/>
        <v>0</v>
      </c>
      <c r="K273" s="11">
        <f t="shared" si="78"/>
        <v>200000</v>
      </c>
      <c r="L273" s="11">
        <f t="shared" si="78"/>
        <v>1000000</v>
      </c>
      <c r="M273" s="11">
        <f t="shared" si="78"/>
        <v>0</v>
      </c>
      <c r="N273" s="11">
        <f t="shared" si="78"/>
        <v>0</v>
      </c>
      <c r="O273" s="11">
        <f t="shared" si="78"/>
        <v>1200000</v>
      </c>
      <c r="P273" s="35">
        <f>SUBTOTAL(9,P274:P276)</f>
        <v>0</v>
      </c>
    </row>
    <row r="274" spans="1:16" s="10" customFormat="1" ht="12.75" customHeight="1" hidden="1">
      <c r="A274" s="98"/>
      <c r="B274" s="98"/>
      <c r="C274" s="101"/>
      <c r="D274" s="95"/>
      <c r="E274" s="95"/>
      <c r="F274" s="23" t="s">
        <v>8</v>
      </c>
      <c r="G274" s="11">
        <v>1200000</v>
      </c>
      <c r="H274" s="13">
        <v>0</v>
      </c>
      <c r="I274" s="11">
        <v>0</v>
      </c>
      <c r="J274" s="11">
        <v>0</v>
      </c>
      <c r="K274" s="11">
        <v>200000</v>
      </c>
      <c r="L274" s="11">
        <v>1000000</v>
      </c>
      <c r="M274" s="11">
        <v>0</v>
      </c>
      <c r="N274" s="11">
        <v>0</v>
      </c>
      <c r="O274" s="14">
        <f>SUM(J274:N274)</f>
        <v>1200000</v>
      </c>
      <c r="P274" s="12">
        <f>G274-H274-I274-O274</f>
        <v>0</v>
      </c>
    </row>
    <row r="275" spans="1:16" s="10" customFormat="1" ht="12.75" customHeight="1" hidden="1">
      <c r="A275" s="98"/>
      <c r="B275" s="98"/>
      <c r="C275" s="101"/>
      <c r="D275" s="95"/>
      <c r="E275" s="95"/>
      <c r="F275" s="3" t="s">
        <v>10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14">
        <f>SUM(J275:N275)</f>
        <v>0</v>
      </c>
      <c r="P275" s="12">
        <f>G275-H275-I275-O275</f>
        <v>0</v>
      </c>
    </row>
    <row r="276" spans="1:16" s="10" customFormat="1" ht="12.75" customHeight="1" hidden="1">
      <c r="A276" s="99"/>
      <c r="B276" s="99"/>
      <c r="C276" s="102"/>
      <c r="D276" s="96"/>
      <c r="E276" s="96"/>
      <c r="F276" s="3" t="s">
        <v>38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14">
        <f>SUM(J276:N276)</f>
        <v>0</v>
      </c>
      <c r="P276" s="12">
        <f>G276-H276-I276-O276</f>
        <v>0</v>
      </c>
    </row>
    <row r="277" spans="1:16" s="10" customFormat="1" ht="49.5" customHeight="1">
      <c r="A277" s="97">
        <v>46</v>
      </c>
      <c r="B277" s="97">
        <v>63</v>
      </c>
      <c r="C277" s="100" t="s">
        <v>16</v>
      </c>
      <c r="D277" s="94">
        <v>2011</v>
      </c>
      <c r="E277" s="94">
        <v>2011</v>
      </c>
      <c r="F277" s="23" t="s">
        <v>110</v>
      </c>
      <c r="G277" s="11">
        <f>SUBTOTAL(9,G278:G280)</f>
        <v>500000</v>
      </c>
      <c r="H277" s="11">
        <f>SUBTOTAL(9,H278:H280)</f>
        <v>0</v>
      </c>
      <c r="I277" s="11">
        <f aca="true" t="shared" si="79" ref="I277:P277">SUBTOTAL(9,I278:I280)</f>
        <v>0</v>
      </c>
      <c r="J277" s="11">
        <f t="shared" si="79"/>
        <v>0</v>
      </c>
      <c r="K277" s="11">
        <f t="shared" si="79"/>
        <v>0</v>
      </c>
      <c r="L277" s="11">
        <f t="shared" si="79"/>
        <v>500000</v>
      </c>
      <c r="M277" s="11">
        <f t="shared" si="79"/>
        <v>0</v>
      </c>
      <c r="N277" s="11">
        <f t="shared" si="79"/>
        <v>0</v>
      </c>
      <c r="O277" s="11">
        <f t="shared" si="79"/>
        <v>500000</v>
      </c>
      <c r="P277" s="11">
        <f t="shared" si="79"/>
        <v>0</v>
      </c>
    </row>
    <row r="278" spans="1:16" s="10" customFormat="1" ht="12.75" customHeight="1" hidden="1">
      <c r="A278" s="98"/>
      <c r="B278" s="98"/>
      <c r="C278" s="101"/>
      <c r="D278" s="95"/>
      <c r="E278" s="95"/>
      <c r="F278" s="23" t="s">
        <v>8</v>
      </c>
      <c r="G278" s="11">
        <v>500000</v>
      </c>
      <c r="H278" s="13">
        <v>0</v>
      </c>
      <c r="I278" s="11">
        <v>0</v>
      </c>
      <c r="J278" s="13">
        <v>0</v>
      </c>
      <c r="K278" s="9">
        <v>0</v>
      </c>
      <c r="L278" s="11">
        <v>500000</v>
      </c>
      <c r="M278" s="13">
        <v>0</v>
      </c>
      <c r="N278" s="13">
        <v>0</v>
      </c>
      <c r="O278" s="14">
        <f>SUM(J278:N278)</f>
        <v>500000</v>
      </c>
      <c r="P278" s="12">
        <f>G278-H278-I278-O278</f>
        <v>0</v>
      </c>
    </row>
    <row r="279" spans="1:16" s="10" customFormat="1" ht="12.75" customHeight="1" hidden="1">
      <c r="A279" s="98"/>
      <c r="B279" s="98"/>
      <c r="C279" s="101"/>
      <c r="D279" s="95"/>
      <c r="E279" s="95"/>
      <c r="F279" s="3" t="s">
        <v>10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14">
        <f>SUM(J279:N279)</f>
        <v>0</v>
      </c>
      <c r="P279" s="12">
        <f>G279-H279-I279-O279</f>
        <v>0</v>
      </c>
    </row>
    <row r="280" spans="1:16" s="10" customFormat="1" ht="12.75" customHeight="1" hidden="1">
      <c r="A280" s="99"/>
      <c r="B280" s="99"/>
      <c r="C280" s="102"/>
      <c r="D280" s="96"/>
      <c r="E280" s="96"/>
      <c r="F280" s="3" t="s">
        <v>38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14">
        <f>SUM(J280:N280)</f>
        <v>0</v>
      </c>
      <c r="P280" s="12">
        <f>G280-H280-I280-O280</f>
        <v>0</v>
      </c>
    </row>
    <row r="281" spans="1:16" s="10" customFormat="1" ht="60" customHeight="1">
      <c r="A281" s="97">
        <v>47</v>
      </c>
      <c r="B281" s="97">
        <v>64</v>
      </c>
      <c r="C281" s="100" t="s">
        <v>17</v>
      </c>
      <c r="D281" s="94">
        <v>2011</v>
      </c>
      <c r="E281" s="94">
        <v>2011</v>
      </c>
      <c r="F281" s="23" t="s">
        <v>110</v>
      </c>
      <c r="G281" s="11">
        <f>SUBTOTAL(9,G282:G284)</f>
        <v>1000000</v>
      </c>
      <c r="H281" s="11">
        <f>SUBTOTAL(9,H282:H284)</f>
        <v>0</v>
      </c>
      <c r="I281" s="11">
        <f aca="true" t="shared" si="80" ref="I281:P281">SUBTOTAL(9,I282:I284)</f>
        <v>0</v>
      </c>
      <c r="J281" s="11">
        <f t="shared" si="80"/>
        <v>0</v>
      </c>
      <c r="K281" s="11">
        <f t="shared" si="80"/>
        <v>0</v>
      </c>
      <c r="L281" s="11">
        <f t="shared" si="80"/>
        <v>1000000</v>
      </c>
      <c r="M281" s="11">
        <f t="shared" si="80"/>
        <v>0</v>
      </c>
      <c r="N281" s="11">
        <f t="shared" si="80"/>
        <v>0</v>
      </c>
      <c r="O281" s="11">
        <f t="shared" si="80"/>
        <v>1000000</v>
      </c>
      <c r="P281" s="11">
        <f t="shared" si="80"/>
        <v>0</v>
      </c>
    </row>
    <row r="282" spans="1:16" s="10" customFormat="1" ht="15" customHeight="1" hidden="1">
      <c r="A282" s="98"/>
      <c r="B282" s="98"/>
      <c r="C282" s="101"/>
      <c r="D282" s="95"/>
      <c r="E282" s="95"/>
      <c r="F282" s="23" t="s">
        <v>8</v>
      </c>
      <c r="G282" s="11">
        <v>1000000</v>
      </c>
      <c r="H282" s="13">
        <v>0</v>
      </c>
      <c r="I282" s="11">
        <v>0</v>
      </c>
      <c r="J282" s="13">
        <v>0</v>
      </c>
      <c r="K282" s="9">
        <v>0</v>
      </c>
      <c r="L282" s="11">
        <v>1000000</v>
      </c>
      <c r="M282" s="13">
        <v>0</v>
      </c>
      <c r="N282" s="13">
        <v>0</v>
      </c>
      <c r="O282" s="14">
        <f>SUM(J282:N282)</f>
        <v>1000000</v>
      </c>
      <c r="P282" s="12">
        <f>G282-H282-I282-O282</f>
        <v>0</v>
      </c>
    </row>
    <row r="283" spans="1:16" s="10" customFormat="1" ht="15" customHeight="1" hidden="1">
      <c r="A283" s="98"/>
      <c r="B283" s="98"/>
      <c r="C283" s="101"/>
      <c r="D283" s="95"/>
      <c r="E283" s="95"/>
      <c r="F283" s="3" t="s">
        <v>10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14">
        <f>SUM(J283:N283)</f>
        <v>0</v>
      </c>
      <c r="P283" s="12">
        <f>G283-H283-I283-O283</f>
        <v>0</v>
      </c>
    </row>
    <row r="284" spans="1:16" s="10" customFormat="1" ht="15" customHeight="1" hidden="1">
      <c r="A284" s="99"/>
      <c r="B284" s="99"/>
      <c r="C284" s="102"/>
      <c r="D284" s="96"/>
      <c r="E284" s="96"/>
      <c r="F284" s="3" t="s">
        <v>38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14">
        <f>SUM(J284:N284)</f>
        <v>0</v>
      </c>
      <c r="P284" s="12">
        <f>G284-H284-I284-O284</f>
        <v>0</v>
      </c>
    </row>
    <row r="285" spans="2:16" s="10" customFormat="1" ht="12.75" customHeight="1">
      <c r="B285" s="106" t="s">
        <v>35</v>
      </c>
      <c r="C285" s="107"/>
      <c r="D285" s="107"/>
      <c r="E285" s="108"/>
      <c r="F285" s="46" t="s">
        <v>36</v>
      </c>
      <c r="G285" s="47">
        <f aca="true" t="shared" si="81" ref="G285:P285">SUBTOTAL(9,G286:G341)</f>
        <v>18969954</v>
      </c>
      <c r="H285" s="47">
        <f t="shared" si="81"/>
        <v>189954</v>
      </c>
      <c r="I285" s="47">
        <f t="shared" si="81"/>
        <v>790000</v>
      </c>
      <c r="J285" s="47">
        <f t="shared" si="81"/>
        <v>1390000</v>
      </c>
      <c r="K285" s="47">
        <f t="shared" si="81"/>
        <v>6000000</v>
      </c>
      <c r="L285" s="47">
        <f t="shared" si="81"/>
        <v>1100000</v>
      </c>
      <c r="M285" s="47">
        <f t="shared" si="81"/>
        <v>6000000</v>
      </c>
      <c r="N285" s="47">
        <f t="shared" si="81"/>
        <v>3500000</v>
      </c>
      <c r="O285" s="47">
        <f t="shared" si="81"/>
        <v>17990000</v>
      </c>
      <c r="P285" s="47">
        <f t="shared" si="81"/>
        <v>0</v>
      </c>
    </row>
    <row r="286" spans="1:16" s="10" customFormat="1" ht="30" customHeight="1">
      <c r="A286" s="97">
        <v>52</v>
      </c>
      <c r="B286" s="97">
        <v>65</v>
      </c>
      <c r="C286" s="100" t="s">
        <v>93</v>
      </c>
      <c r="D286" s="94">
        <v>2008</v>
      </c>
      <c r="E286" s="94">
        <v>2008</v>
      </c>
      <c r="F286" s="23" t="s">
        <v>110</v>
      </c>
      <c r="G286" s="11">
        <f>SUBTOTAL(9,G287:G289)</f>
        <v>250000</v>
      </c>
      <c r="H286" s="11">
        <f>SUBTOTAL(9,H287:H289)</f>
        <v>0</v>
      </c>
      <c r="I286" s="11">
        <f aca="true" t="shared" si="82" ref="I286:P286">SUBTOTAL(9,I287:I289)</f>
        <v>250000</v>
      </c>
      <c r="J286" s="11">
        <f t="shared" si="82"/>
        <v>0</v>
      </c>
      <c r="K286" s="11">
        <f t="shared" si="82"/>
        <v>0</v>
      </c>
      <c r="L286" s="11">
        <f t="shared" si="82"/>
        <v>0</v>
      </c>
      <c r="M286" s="11">
        <f t="shared" si="82"/>
        <v>0</v>
      </c>
      <c r="N286" s="11">
        <f t="shared" si="82"/>
        <v>0</v>
      </c>
      <c r="O286" s="11">
        <f t="shared" si="82"/>
        <v>0</v>
      </c>
      <c r="P286" s="11">
        <f t="shared" si="82"/>
        <v>0</v>
      </c>
    </row>
    <row r="287" spans="1:16" s="10" customFormat="1" ht="12.75" customHeight="1" hidden="1">
      <c r="A287" s="98"/>
      <c r="B287" s="98"/>
      <c r="C287" s="101"/>
      <c r="D287" s="95"/>
      <c r="E287" s="95"/>
      <c r="F287" s="23" t="s">
        <v>8</v>
      </c>
      <c r="G287" s="11">
        <v>250000</v>
      </c>
      <c r="H287" s="13">
        <v>0</v>
      </c>
      <c r="I287" s="11">
        <v>250000</v>
      </c>
      <c r="J287" s="9">
        <v>0</v>
      </c>
      <c r="K287" s="9">
        <v>0</v>
      </c>
      <c r="L287" s="9">
        <v>0</v>
      </c>
      <c r="M287" s="9">
        <v>0</v>
      </c>
      <c r="N287" s="13"/>
      <c r="O287" s="14">
        <f>SUM(J287:N287)</f>
        <v>0</v>
      </c>
      <c r="P287" s="12">
        <f>G287-H287-I287-O287</f>
        <v>0</v>
      </c>
    </row>
    <row r="288" spans="1:16" s="10" customFormat="1" ht="12.75" customHeight="1" hidden="1">
      <c r="A288" s="98"/>
      <c r="B288" s="98"/>
      <c r="C288" s="101"/>
      <c r="D288" s="95"/>
      <c r="E288" s="95"/>
      <c r="F288" s="3" t="s">
        <v>10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14">
        <f>SUM(J288:N288)</f>
        <v>0</v>
      </c>
      <c r="P288" s="12">
        <f>G288-H288-I288-O288</f>
        <v>0</v>
      </c>
    </row>
    <row r="289" spans="1:16" s="10" customFormat="1" ht="12.75" customHeight="1" hidden="1">
      <c r="A289" s="99"/>
      <c r="B289" s="99"/>
      <c r="C289" s="102"/>
      <c r="D289" s="96"/>
      <c r="E289" s="96"/>
      <c r="F289" s="3" t="s">
        <v>38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14">
        <f>SUM(J289:N289)</f>
        <v>0</v>
      </c>
      <c r="P289" s="12">
        <f>G289-H289-I289-O289</f>
        <v>0</v>
      </c>
    </row>
    <row r="290" spans="1:16" s="10" customFormat="1" ht="30" customHeight="1">
      <c r="A290" s="97">
        <v>52</v>
      </c>
      <c r="B290" s="97">
        <v>66</v>
      </c>
      <c r="C290" s="100" t="s">
        <v>101</v>
      </c>
      <c r="D290" s="94">
        <v>2007</v>
      </c>
      <c r="E290" s="94">
        <v>2009</v>
      </c>
      <c r="F290" s="23" t="s">
        <v>110</v>
      </c>
      <c r="G290" s="11">
        <f>SUBTOTAL(9,G291:G293)</f>
        <v>64670</v>
      </c>
      <c r="H290" s="11">
        <f>SUBTOTAL(9,H291:H293)</f>
        <v>24670</v>
      </c>
      <c r="I290" s="11">
        <f aca="true" t="shared" si="83" ref="I290:P290">SUBTOTAL(9,I291:I293)</f>
        <v>30000</v>
      </c>
      <c r="J290" s="11">
        <f t="shared" si="83"/>
        <v>10000</v>
      </c>
      <c r="K290" s="11">
        <f t="shared" si="83"/>
        <v>0</v>
      </c>
      <c r="L290" s="11">
        <f t="shared" si="83"/>
        <v>0</v>
      </c>
      <c r="M290" s="11">
        <f t="shared" si="83"/>
        <v>0</v>
      </c>
      <c r="N290" s="11">
        <f t="shared" si="83"/>
        <v>0</v>
      </c>
      <c r="O290" s="11">
        <f t="shared" si="83"/>
        <v>10000</v>
      </c>
      <c r="P290" s="11">
        <f t="shared" si="83"/>
        <v>0</v>
      </c>
    </row>
    <row r="291" spans="1:16" s="10" customFormat="1" ht="12.75" customHeight="1" hidden="1">
      <c r="A291" s="98"/>
      <c r="B291" s="98"/>
      <c r="C291" s="101"/>
      <c r="D291" s="95"/>
      <c r="E291" s="95"/>
      <c r="F291" s="23" t="s">
        <v>8</v>
      </c>
      <c r="G291" s="11">
        <v>64670</v>
      </c>
      <c r="H291" s="13">
        <v>24670</v>
      </c>
      <c r="I291" s="11">
        <v>30000</v>
      </c>
      <c r="J291" s="9">
        <v>10000</v>
      </c>
      <c r="K291" s="9">
        <v>0</v>
      </c>
      <c r="L291" s="9">
        <v>0</v>
      </c>
      <c r="M291" s="9">
        <v>0</v>
      </c>
      <c r="N291" s="13"/>
      <c r="O291" s="14">
        <f>SUM(J291:N291)</f>
        <v>10000</v>
      </c>
      <c r="P291" s="12">
        <f>G291-H291-I291-O291</f>
        <v>0</v>
      </c>
    </row>
    <row r="292" spans="1:16" s="10" customFormat="1" ht="12.75" customHeight="1" hidden="1">
      <c r="A292" s="98"/>
      <c r="B292" s="98"/>
      <c r="C292" s="101"/>
      <c r="D292" s="95"/>
      <c r="E292" s="95"/>
      <c r="F292" s="3" t="s">
        <v>10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14">
        <f>SUM(J292:N292)</f>
        <v>0</v>
      </c>
      <c r="P292" s="12">
        <f>G292-H292-I292-O292</f>
        <v>0</v>
      </c>
    </row>
    <row r="293" spans="1:16" s="10" customFormat="1" ht="12.75" customHeight="1" hidden="1">
      <c r="A293" s="99"/>
      <c r="B293" s="99"/>
      <c r="C293" s="102"/>
      <c r="D293" s="96"/>
      <c r="E293" s="96"/>
      <c r="F293" s="3" t="s">
        <v>38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14">
        <f>SUM(J293:N293)</f>
        <v>0</v>
      </c>
      <c r="P293" s="12">
        <f>G293-H293-I293-O293</f>
        <v>0</v>
      </c>
    </row>
    <row r="294" spans="1:16" s="10" customFormat="1" ht="30" customHeight="1">
      <c r="A294" s="97">
        <v>52</v>
      </c>
      <c r="B294" s="97">
        <v>67</v>
      </c>
      <c r="C294" s="100" t="s">
        <v>95</v>
      </c>
      <c r="D294" s="94">
        <v>2007</v>
      </c>
      <c r="E294" s="94">
        <v>2009</v>
      </c>
      <c r="F294" s="23" t="s">
        <v>110</v>
      </c>
      <c r="G294" s="11">
        <f>SUBTOTAL(9,G295:G297)</f>
        <v>200449</v>
      </c>
      <c r="H294" s="11">
        <f>SUBTOTAL(9,H295:H297)</f>
        <v>150449</v>
      </c>
      <c r="I294" s="11">
        <f aca="true" t="shared" si="84" ref="I294:P294">SUBTOTAL(9,I295:I297)</f>
        <v>40000</v>
      </c>
      <c r="J294" s="11">
        <f t="shared" si="84"/>
        <v>10000</v>
      </c>
      <c r="K294" s="11">
        <f t="shared" si="84"/>
        <v>0</v>
      </c>
      <c r="L294" s="11">
        <f t="shared" si="84"/>
        <v>0</v>
      </c>
      <c r="M294" s="11">
        <f t="shared" si="84"/>
        <v>0</v>
      </c>
      <c r="N294" s="11">
        <f t="shared" si="84"/>
        <v>0</v>
      </c>
      <c r="O294" s="11">
        <f t="shared" si="84"/>
        <v>10000</v>
      </c>
      <c r="P294" s="11">
        <f t="shared" si="84"/>
        <v>0</v>
      </c>
    </row>
    <row r="295" spans="1:16" s="10" customFormat="1" ht="12.75" customHeight="1" hidden="1">
      <c r="A295" s="98"/>
      <c r="B295" s="98"/>
      <c r="C295" s="101"/>
      <c r="D295" s="95"/>
      <c r="E295" s="95"/>
      <c r="F295" s="23" t="s">
        <v>8</v>
      </c>
      <c r="G295" s="11">
        <v>200449</v>
      </c>
      <c r="H295" s="13">
        <v>150449</v>
      </c>
      <c r="I295" s="11">
        <v>40000</v>
      </c>
      <c r="J295" s="9">
        <v>10000</v>
      </c>
      <c r="K295" s="9">
        <v>0</v>
      </c>
      <c r="L295" s="9">
        <v>0</v>
      </c>
      <c r="M295" s="9">
        <v>0</v>
      </c>
      <c r="N295" s="13"/>
      <c r="O295" s="14">
        <f>SUM(J295:N295)</f>
        <v>10000</v>
      </c>
      <c r="P295" s="12">
        <f>G295-H295-I295-O295</f>
        <v>0</v>
      </c>
    </row>
    <row r="296" spans="1:16" s="10" customFormat="1" ht="12.75" customHeight="1" hidden="1">
      <c r="A296" s="98"/>
      <c r="B296" s="98"/>
      <c r="C296" s="101"/>
      <c r="D296" s="95"/>
      <c r="E296" s="95"/>
      <c r="F296" s="3" t="s">
        <v>10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14">
        <f>SUM(J296:N296)</f>
        <v>0</v>
      </c>
      <c r="P296" s="12">
        <f>G296-H296-I296-O296</f>
        <v>0</v>
      </c>
    </row>
    <row r="297" spans="1:16" s="10" customFormat="1" ht="12.75" customHeight="1" hidden="1">
      <c r="A297" s="99"/>
      <c r="B297" s="99"/>
      <c r="C297" s="102"/>
      <c r="D297" s="96"/>
      <c r="E297" s="96"/>
      <c r="F297" s="3" t="s">
        <v>38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14">
        <f>SUM(J297:N297)</f>
        <v>0</v>
      </c>
      <c r="P297" s="12">
        <f>G297-H297-I297-O297</f>
        <v>0</v>
      </c>
    </row>
    <row r="298" spans="1:16" s="10" customFormat="1" ht="30" customHeight="1">
      <c r="A298" s="97">
        <v>52</v>
      </c>
      <c r="B298" s="97">
        <v>68</v>
      </c>
      <c r="C298" s="100" t="s">
        <v>94</v>
      </c>
      <c r="D298" s="94">
        <v>2008</v>
      </c>
      <c r="E298" s="94">
        <v>2009</v>
      </c>
      <c r="F298" s="23" t="s">
        <v>110</v>
      </c>
      <c r="G298" s="11">
        <f>SUBTOTAL(9,G299:G301)</f>
        <v>120000</v>
      </c>
      <c r="H298" s="11">
        <f>SUBTOTAL(9,H299:H301)</f>
        <v>0</v>
      </c>
      <c r="I298" s="11">
        <f aca="true" t="shared" si="85" ref="I298:P298">SUBTOTAL(9,I299:I301)</f>
        <v>100000</v>
      </c>
      <c r="J298" s="11">
        <f t="shared" si="85"/>
        <v>20000</v>
      </c>
      <c r="K298" s="11">
        <f t="shared" si="85"/>
        <v>0</v>
      </c>
      <c r="L298" s="11">
        <f t="shared" si="85"/>
        <v>0</v>
      </c>
      <c r="M298" s="11">
        <f t="shared" si="85"/>
        <v>0</v>
      </c>
      <c r="N298" s="11">
        <f t="shared" si="85"/>
        <v>0</v>
      </c>
      <c r="O298" s="11">
        <f t="shared" si="85"/>
        <v>20000</v>
      </c>
      <c r="P298" s="11">
        <f t="shared" si="85"/>
        <v>0</v>
      </c>
    </row>
    <row r="299" spans="1:16" s="10" customFormat="1" ht="12.75" customHeight="1" hidden="1">
      <c r="A299" s="98"/>
      <c r="B299" s="98"/>
      <c r="C299" s="101"/>
      <c r="D299" s="95"/>
      <c r="E299" s="95"/>
      <c r="F299" s="23" t="s">
        <v>8</v>
      </c>
      <c r="G299" s="11">
        <v>120000</v>
      </c>
      <c r="H299" s="13">
        <v>0</v>
      </c>
      <c r="I299" s="11">
        <v>100000</v>
      </c>
      <c r="J299" s="9">
        <v>20000</v>
      </c>
      <c r="K299" s="9">
        <v>0</v>
      </c>
      <c r="L299" s="9">
        <v>0</v>
      </c>
      <c r="M299" s="9">
        <v>0</v>
      </c>
      <c r="N299" s="13"/>
      <c r="O299" s="14">
        <f>SUM(J299:N299)</f>
        <v>20000</v>
      </c>
      <c r="P299" s="12">
        <f>G299-H299-I299-O299</f>
        <v>0</v>
      </c>
    </row>
    <row r="300" spans="1:16" s="10" customFormat="1" ht="12.75" customHeight="1" hidden="1">
      <c r="A300" s="98"/>
      <c r="B300" s="98"/>
      <c r="C300" s="101"/>
      <c r="D300" s="95"/>
      <c r="E300" s="95"/>
      <c r="F300" s="3" t="s">
        <v>10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14">
        <f>SUM(J300:N300)</f>
        <v>0</v>
      </c>
      <c r="P300" s="12">
        <f>G300-H300-I300-O300</f>
        <v>0</v>
      </c>
    </row>
    <row r="301" spans="1:16" s="10" customFormat="1" ht="12.75" customHeight="1" hidden="1">
      <c r="A301" s="99"/>
      <c r="B301" s="99"/>
      <c r="C301" s="102"/>
      <c r="D301" s="96"/>
      <c r="E301" s="96"/>
      <c r="F301" s="3" t="s">
        <v>38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14">
        <f>SUM(J301:N301)</f>
        <v>0</v>
      </c>
      <c r="P301" s="12">
        <f>G301-H301-I301-O301</f>
        <v>0</v>
      </c>
    </row>
    <row r="302" spans="1:16" s="10" customFormat="1" ht="49.5" customHeight="1">
      <c r="A302" s="97">
        <v>59</v>
      </c>
      <c r="B302" s="97">
        <v>69</v>
      </c>
      <c r="C302" s="100" t="s">
        <v>106</v>
      </c>
      <c r="D302" s="94">
        <v>2008</v>
      </c>
      <c r="E302" s="94">
        <v>2009</v>
      </c>
      <c r="F302" s="23" t="s">
        <v>110</v>
      </c>
      <c r="G302" s="11">
        <f>SUBTOTAL(9,G303:G305)</f>
        <v>500000</v>
      </c>
      <c r="H302" s="11">
        <f>SUBTOTAL(9,H303:H305)</f>
        <v>0</v>
      </c>
      <c r="I302" s="11">
        <f>SUBTOTAL(9,I303:I305)</f>
        <v>40000</v>
      </c>
      <c r="J302" s="11">
        <f aca="true" t="shared" si="86" ref="J302:P302">SUBTOTAL(9,J303:J305)</f>
        <v>460000</v>
      </c>
      <c r="K302" s="11">
        <f t="shared" si="86"/>
        <v>0</v>
      </c>
      <c r="L302" s="11">
        <f t="shared" si="86"/>
        <v>0</v>
      </c>
      <c r="M302" s="11">
        <f t="shared" si="86"/>
        <v>0</v>
      </c>
      <c r="N302" s="11">
        <f t="shared" si="86"/>
        <v>0</v>
      </c>
      <c r="O302" s="11">
        <f t="shared" si="86"/>
        <v>460000</v>
      </c>
      <c r="P302" s="11">
        <f t="shared" si="86"/>
        <v>0</v>
      </c>
    </row>
    <row r="303" spans="1:16" s="10" customFormat="1" ht="13.5" customHeight="1" hidden="1">
      <c r="A303" s="98"/>
      <c r="B303" s="98"/>
      <c r="C303" s="101"/>
      <c r="D303" s="95"/>
      <c r="E303" s="95"/>
      <c r="F303" s="23" t="s">
        <v>8</v>
      </c>
      <c r="G303" s="13">
        <v>500000</v>
      </c>
      <c r="H303" s="13">
        <v>0</v>
      </c>
      <c r="I303" s="13">
        <v>40000</v>
      </c>
      <c r="J303" s="11">
        <v>460000</v>
      </c>
      <c r="K303" s="9">
        <v>0</v>
      </c>
      <c r="L303" s="9">
        <v>0</v>
      </c>
      <c r="M303" s="13">
        <v>0</v>
      </c>
      <c r="N303" s="13">
        <v>0</v>
      </c>
      <c r="O303" s="14">
        <f>SUM(J303:N303)</f>
        <v>460000</v>
      </c>
      <c r="P303" s="12">
        <f>G303-H303-I303-O303</f>
        <v>0</v>
      </c>
    </row>
    <row r="304" spans="1:16" s="10" customFormat="1" ht="13.5" customHeight="1" hidden="1">
      <c r="A304" s="98"/>
      <c r="B304" s="98"/>
      <c r="C304" s="101"/>
      <c r="D304" s="95"/>
      <c r="E304" s="95"/>
      <c r="F304" s="3" t="s">
        <v>10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14">
        <f>SUM(J304:N304)</f>
        <v>0</v>
      </c>
      <c r="P304" s="12">
        <f>G304-H304-I304-O304</f>
        <v>0</v>
      </c>
    </row>
    <row r="305" spans="1:16" s="10" customFormat="1" ht="13.5" customHeight="1" hidden="1">
      <c r="A305" s="99"/>
      <c r="B305" s="99"/>
      <c r="C305" s="102"/>
      <c r="D305" s="96"/>
      <c r="E305" s="96"/>
      <c r="F305" s="3" t="s">
        <v>38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14">
        <f>SUM(J305:N305)</f>
        <v>0</v>
      </c>
      <c r="P305" s="12">
        <f>G305-H305-I305-O305</f>
        <v>0</v>
      </c>
    </row>
    <row r="306" spans="1:16" s="10" customFormat="1" ht="49.5" customHeight="1">
      <c r="A306" s="97">
        <v>59</v>
      </c>
      <c r="B306" s="77">
        <v>70</v>
      </c>
      <c r="C306" s="78" t="s">
        <v>99</v>
      </c>
      <c r="D306" s="79">
        <v>2009</v>
      </c>
      <c r="E306" s="79">
        <v>2009</v>
      </c>
      <c r="F306" s="23" t="s">
        <v>110</v>
      </c>
      <c r="G306" s="11">
        <f>SUBTOTAL(9,G307:G309)</f>
        <v>470000</v>
      </c>
      <c r="H306" s="11">
        <f>SUBTOTAL(9,H307:H309)</f>
        <v>0</v>
      </c>
      <c r="I306" s="11">
        <f aca="true" t="shared" si="87" ref="I306:P306">SUBTOTAL(9,I307:I309)</f>
        <v>0</v>
      </c>
      <c r="J306" s="11">
        <f t="shared" si="87"/>
        <v>470000</v>
      </c>
      <c r="K306" s="11">
        <f t="shared" si="87"/>
        <v>0</v>
      </c>
      <c r="L306" s="11">
        <f t="shared" si="87"/>
        <v>0</v>
      </c>
      <c r="M306" s="11">
        <f t="shared" si="87"/>
        <v>0</v>
      </c>
      <c r="N306" s="11">
        <f t="shared" si="87"/>
        <v>0</v>
      </c>
      <c r="O306" s="11">
        <f t="shared" si="87"/>
        <v>470000</v>
      </c>
      <c r="P306" s="11">
        <f t="shared" si="87"/>
        <v>0</v>
      </c>
    </row>
    <row r="307" spans="1:16" s="10" customFormat="1" ht="13.5" customHeight="1" hidden="1">
      <c r="A307" s="98"/>
      <c r="B307" s="73"/>
      <c r="C307" s="71"/>
      <c r="D307" s="75"/>
      <c r="E307" s="75"/>
      <c r="F307" s="23" t="s">
        <v>8</v>
      </c>
      <c r="G307" s="13">
        <v>470000</v>
      </c>
      <c r="H307" s="13">
        <v>0</v>
      </c>
      <c r="I307" s="11">
        <v>0</v>
      </c>
      <c r="J307" s="13">
        <v>470000</v>
      </c>
      <c r="K307" s="11">
        <v>0</v>
      </c>
      <c r="L307" s="11">
        <v>0</v>
      </c>
      <c r="M307" s="13">
        <v>0</v>
      </c>
      <c r="N307" s="13">
        <v>0</v>
      </c>
      <c r="O307" s="14">
        <f>SUM(J307:N307)</f>
        <v>470000</v>
      </c>
      <c r="P307" s="12">
        <f>G307-H307-I307-O307</f>
        <v>0</v>
      </c>
    </row>
    <row r="308" spans="1:16" s="10" customFormat="1" ht="13.5" customHeight="1" hidden="1">
      <c r="A308" s="98"/>
      <c r="B308" s="73"/>
      <c r="C308" s="71"/>
      <c r="D308" s="75"/>
      <c r="E308" s="75"/>
      <c r="F308" s="3" t="s">
        <v>10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14">
        <f>SUM(J308:N308)</f>
        <v>0</v>
      </c>
      <c r="P308" s="12">
        <f>G308-H308-I308-O308</f>
        <v>0</v>
      </c>
    </row>
    <row r="309" spans="1:16" s="10" customFormat="1" ht="13.5" customHeight="1" hidden="1">
      <c r="A309" s="99"/>
      <c r="B309" s="74"/>
      <c r="C309" s="72"/>
      <c r="D309" s="76"/>
      <c r="E309" s="76"/>
      <c r="F309" s="3" t="s">
        <v>38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14">
        <f>SUM(J309:N309)</f>
        <v>0</v>
      </c>
      <c r="P309" s="12">
        <f>G309-H309-I309-O309</f>
        <v>0</v>
      </c>
    </row>
    <row r="310" spans="1:16" s="10" customFormat="1" ht="39.75" customHeight="1">
      <c r="A310" s="97">
        <v>59</v>
      </c>
      <c r="B310" s="97">
        <v>71</v>
      </c>
      <c r="C310" s="100" t="s">
        <v>100</v>
      </c>
      <c r="D310" s="94">
        <v>2009</v>
      </c>
      <c r="E310" s="94">
        <v>2010</v>
      </c>
      <c r="F310" s="23" t="s">
        <v>110</v>
      </c>
      <c r="G310" s="11">
        <f>SUBTOTAL(9,G311:G313)</f>
        <v>5000000</v>
      </c>
      <c r="H310" s="11">
        <f>SUBTOTAL(9,H311:H313)</f>
        <v>0</v>
      </c>
      <c r="I310" s="11">
        <f aca="true" t="shared" si="88" ref="I310:P310">SUBTOTAL(9,I311:I313)</f>
        <v>0</v>
      </c>
      <c r="J310" s="11">
        <f t="shared" si="88"/>
        <v>50000</v>
      </c>
      <c r="K310" s="11">
        <f t="shared" si="88"/>
        <v>4950000</v>
      </c>
      <c r="L310" s="11">
        <f t="shared" si="88"/>
        <v>0</v>
      </c>
      <c r="M310" s="11">
        <f t="shared" si="88"/>
        <v>0</v>
      </c>
      <c r="N310" s="11">
        <f t="shared" si="88"/>
        <v>0</v>
      </c>
      <c r="O310" s="11">
        <f t="shared" si="88"/>
        <v>5000000</v>
      </c>
      <c r="P310" s="11">
        <f t="shared" si="88"/>
        <v>0</v>
      </c>
    </row>
    <row r="311" spans="1:16" s="10" customFormat="1" ht="13.5" customHeight="1" hidden="1">
      <c r="A311" s="98"/>
      <c r="B311" s="98"/>
      <c r="C311" s="101"/>
      <c r="D311" s="95"/>
      <c r="E311" s="95"/>
      <c r="F311" s="23" t="s">
        <v>8</v>
      </c>
      <c r="G311" s="13">
        <v>5000000</v>
      </c>
      <c r="H311" s="13">
        <v>0</v>
      </c>
      <c r="I311" s="11">
        <v>0</v>
      </c>
      <c r="J311" s="13">
        <v>50000</v>
      </c>
      <c r="K311" s="11">
        <v>4950000</v>
      </c>
      <c r="L311" s="11">
        <v>0</v>
      </c>
      <c r="M311" s="13">
        <v>0</v>
      </c>
      <c r="N311" s="13">
        <v>0</v>
      </c>
      <c r="O311" s="14">
        <f>SUM(J311:N311)</f>
        <v>5000000</v>
      </c>
      <c r="P311" s="12">
        <f>G311-H311-I311-O311</f>
        <v>0</v>
      </c>
    </row>
    <row r="312" spans="1:16" s="10" customFormat="1" ht="13.5" customHeight="1" hidden="1">
      <c r="A312" s="98"/>
      <c r="B312" s="98"/>
      <c r="C312" s="101"/>
      <c r="D312" s="95"/>
      <c r="E312" s="95"/>
      <c r="F312" s="3" t="s">
        <v>10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14">
        <f>SUM(J312:N312)</f>
        <v>0</v>
      </c>
      <c r="P312" s="12">
        <f>G312-H312-I312-O312</f>
        <v>0</v>
      </c>
    </row>
    <row r="313" spans="1:16" s="10" customFormat="1" ht="13.5" customHeight="1" hidden="1">
      <c r="A313" s="99"/>
      <c r="B313" s="99"/>
      <c r="C313" s="102"/>
      <c r="D313" s="96"/>
      <c r="E313" s="96"/>
      <c r="F313" s="3" t="s">
        <v>38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14">
        <f>SUM(J313:N313)</f>
        <v>0</v>
      </c>
      <c r="P313" s="12">
        <f>G313-H313-I313-O313</f>
        <v>0</v>
      </c>
    </row>
    <row r="314" spans="1:16" s="10" customFormat="1" ht="49.5" customHeight="1">
      <c r="A314" s="97">
        <v>54</v>
      </c>
      <c r="B314" s="97">
        <v>72</v>
      </c>
      <c r="C314" s="100" t="s">
        <v>28</v>
      </c>
      <c r="D314" s="94">
        <v>2008</v>
      </c>
      <c r="E314" s="94">
        <v>2010</v>
      </c>
      <c r="F314" s="23" t="s">
        <v>110</v>
      </c>
      <c r="G314" s="11">
        <f>SUBTOTAL(9,G315:G317)</f>
        <v>150000</v>
      </c>
      <c r="H314" s="11">
        <f>SUBTOTAL(9,H315:H317)</f>
        <v>0</v>
      </c>
      <c r="I314" s="11">
        <f aca="true" t="shared" si="89" ref="I314:P314">SUBTOTAL(9,I315:I317)</f>
        <v>30000</v>
      </c>
      <c r="J314" s="11">
        <f t="shared" si="89"/>
        <v>70000</v>
      </c>
      <c r="K314" s="11">
        <f t="shared" si="89"/>
        <v>50000</v>
      </c>
      <c r="L314" s="11">
        <f t="shared" si="89"/>
        <v>0</v>
      </c>
      <c r="M314" s="11">
        <f t="shared" si="89"/>
        <v>0</v>
      </c>
      <c r="N314" s="11">
        <f t="shared" si="89"/>
        <v>0</v>
      </c>
      <c r="O314" s="11">
        <f t="shared" si="89"/>
        <v>120000</v>
      </c>
      <c r="P314" s="11">
        <f t="shared" si="89"/>
        <v>0</v>
      </c>
    </row>
    <row r="315" spans="1:16" s="10" customFormat="1" ht="12.75" customHeight="1" hidden="1">
      <c r="A315" s="98"/>
      <c r="B315" s="98"/>
      <c r="C315" s="101"/>
      <c r="D315" s="95"/>
      <c r="E315" s="95"/>
      <c r="F315" s="23" t="s">
        <v>8</v>
      </c>
      <c r="G315" s="13">
        <v>150000</v>
      </c>
      <c r="H315" s="13">
        <v>0</v>
      </c>
      <c r="I315" s="9">
        <v>30000</v>
      </c>
      <c r="J315" s="9">
        <v>70000</v>
      </c>
      <c r="K315" s="9">
        <v>50000</v>
      </c>
      <c r="L315" s="9">
        <v>0</v>
      </c>
      <c r="M315" s="9">
        <v>0</v>
      </c>
      <c r="N315" s="9">
        <v>0</v>
      </c>
      <c r="O315" s="14">
        <f>SUM(J315:N315)</f>
        <v>120000</v>
      </c>
      <c r="P315" s="12">
        <f>G315-H315-I315-O315</f>
        <v>0</v>
      </c>
    </row>
    <row r="316" spans="1:16" s="10" customFormat="1" ht="12.75" customHeight="1" hidden="1">
      <c r="A316" s="98"/>
      <c r="B316" s="98"/>
      <c r="C316" s="101"/>
      <c r="D316" s="95"/>
      <c r="E316" s="95"/>
      <c r="F316" s="3" t="s">
        <v>10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14">
        <f>SUM(J316:N316)</f>
        <v>0</v>
      </c>
      <c r="P316" s="12">
        <f>G316-H316-I316-O316</f>
        <v>0</v>
      </c>
    </row>
    <row r="317" spans="1:16" s="10" customFormat="1" ht="12.75" customHeight="1" hidden="1">
      <c r="A317" s="99"/>
      <c r="B317" s="99"/>
      <c r="C317" s="102"/>
      <c r="D317" s="96"/>
      <c r="E317" s="96"/>
      <c r="F317" s="3" t="s">
        <v>38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14">
        <f>SUM(J317:N317)</f>
        <v>0</v>
      </c>
      <c r="P317" s="12">
        <f>G317-H317-I317-O317</f>
        <v>0</v>
      </c>
    </row>
    <row r="318" spans="1:16" s="10" customFormat="1" ht="39.75" customHeight="1">
      <c r="A318" s="97">
        <v>55</v>
      </c>
      <c r="B318" s="97">
        <v>73</v>
      </c>
      <c r="C318" s="100" t="s">
        <v>27</v>
      </c>
      <c r="D318" s="94">
        <v>2007</v>
      </c>
      <c r="E318" s="94">
        <v>2013</v>
      </c>
      <c r="F318" s="23" t="s">
        <v>110</v>
      </c>
      <c r="G318" s="11">
        <f>SUBTOTAL(9,G319:G321)</f>
        <v>1814835</v>
      </c>
      <c r="H318" s="11">
        <f>SUBTOTAL(9,H319:H321)</f>
        <v>14835</v>
      </c>
      <c r="I318" s="11">
        <f aca="true" t="shared" si="90" ref="I318:P318">SUBTOTAL(9,I319:I321)</f>
        <v>300000</v>
      </c>
      <c r="J318" s="11">
        <f t="shared" si="90"/>
        <v>300000</v>
      </c>
      <c r="K318" s="11">
        <f t="shared" si="90"/>
        <v>300000</v>
      </c>
      <c r="L318" s="11">
        <f t="shared" si="90"/>
        <v>300000</v>
      </c>
      <c r="M318" s="11">
        <f t="shared" si="90"/>
        <v>300000</v>
      </c>
      <c r="N318" s="11">
        <f t="shared" si="90"/>
        <v>300000</v>
      </c>
      <c r="O318" s="11">
        <f t="shared" si="90"/>
        <v>1500000</v>
      </c>
      <c r="P318" s="11">
        <f t="shared" si="90"/>
        <v>0</v>
      </c>
    </row>
    <row r="319" spans="1:16" s="10" customFormat="1" ht="12.75" customHeight="1" hidden="1">
      <c r="A319" s="98"/>
      <c r="B319" s="98"/>
      <c r="C319" s="101"/>
      <c r="D319" s="95"/>
      <c r="E319" s="95"/>
      <c r="F319" s="23" t="s">
        <v>8</v>
      </c>
      <c r="G319" s="13">
        <v>1814835</v>
      </c>
      <c r="H319" s="13">
        <v>14835</v>
      </c>
      <c r="I319" s="9">
        <v>300000</v>
      </c>
      <c r="J319" s="9">
        <v>300000</v>
      </c>
      <c r="K319" s="9">
        <v>300000</v>
      </c>
      <c r="L319" s="9">
        <v>300000</v>
      </c>
      <c r="M319" s="9">
        <v>300000</v>
      </c>
      <c r="N319" s="9">
        <v>300000</v>
      </c>
      <c r="O319" s="14">
        <f>SUM(J319:N319)</f>
        <v>1500000</v>
      </c>
      <c r="P319" s="12">
        <f>G319-H319-I319-O319</f>
        <v>0</v>
      </c>
    </row>
    <row r="320" spans="1:16" s="10" customFormat="1" ht="12.75" customHeight="1" hidden="1">
      <c r="A320" s="98"/>
      <c r="B320" s="98"/>
      <c r="C320" s="101"/>
      <c r="D320" s="95"/>
      <c r="E320" s="95"/>
      <c r="F320" s="3" t="s">
        <v>10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14">
        <f>SUM(J320:N320)</f>
        <v>0</v>
      </c>
      <c r="P320" s="12">
        <f>G320-H320-I320-O320</f>
        <v>0</v>
      </c>
    </row>
    <row r="321" spans="1:16" s="10" customFormat="1" ht="12.75" customHeight="1" hidden="1">
      <c r="A321" s="99"/>
      <c r="B321" s="99"/>
      <c r="C321" s="102"/>
      <c r="D321" s="96"/>
      <c r="E321" s="96"/>
      <c r="F321" s="3" t="s">
        <v>38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14">
        <f>SUM(J321:N321)</f>
        <v>0</v>
      </c>
      <c r="P321" s="12">
        <f>G321-H321-I321-O321</f>
        <v>0</v>
      </c>
    </row>
    <row r="322" spans="1:16" s="10" customFormat="1" ht="39.75" customHeight="1">
      <c r="A322" s="97">
        <v>56</v>
      </c>
      <c r="B322" s="97">
        <v>74</v>
      </c>
      <c r="C322" s="100" t="s">
        <v>26</v>
      </c>
      <c r="D322" s="94">
        <v>2010</v>
      </c>
      <c r="E322" s="94">
        <v>2012</v>
      </c>
      <c r="F322" s="23" t="s">
        <v>110</v>
      </c>
      <c r="G322" s="11">
        <f>SUBTOTAL(9,G323:G325)</f>
        <v>2200000</v>
      </c>
      <c r="H322" s="11">
        <f>SUBTOTAL(9,H323:H325)</f>
        <v>0</v>
      </c>
      <c r="I322" s="11">
        <f aca="true" t="shared" si="91" ref="I322:P322">SUBTOTAL(9,I323:I325)</f>
        <v>0</v>
      </c>
      <c r="J322" s="11">
        <f t="shared" si="91"/>
        <v>0</v>
      </c>
      <c r="K322" s="11">
        <f t="shared" si="91"/>
        <v>700000</v>
      </c>
      <c r="L322" s="11">
        <f t="shared" si="91"/>
        <v>700000</v>
      </c>
      <c r="M322" s="11">
        <f t="shared" si="91"/>
        <v>800000</v>
      </c>
      <c r="N322" s="11">
        <f t="shared" si="91"/>
        <v>0</v>
      </c>
      <c r="O322" s="11">
        <f t="shared" si="91"/>
        <v>2200000</v>
      </c>
      <c r="P322" s="11">
        <f t="shared" si="91"/>
        <v>0</v>
      </c>
    </row>
    <row r="323" spans="1:16" s="10" customFormat="1" ht="12.75" customHeight="1" hidden="1">
      <c r="A323" s="98"/>
      <c r="B323" s="98"/>
      <c r="C323" s="101"/>
      <c r="D323" s="95"/>
      <c r="E323" s="95"/>
      <c r="F323" s="23" t="s">
        <v>8</v>
      </c>
      <c r="G323" s="13">
        <v>2200000</v>
      </c>
      <c r="H323" s="13">
        <v>0</v>
      </c>
      <c r="I323" s="11">
        <v>0</v>
      </c>
      <c r="J323" s="9"/>
      <c r="K323" s="9">
        <v>700000</v>
      </c>
      <c r="L323" s="9">
        <v>700000</v>
      </c>
      <c r="M323" s="9">
        <v>800000</v>
      </c>
      <c r="N323" s="13">
        <v>0</v>
      </c>
      <c r="O323" s="14">
        <f>SUM(J323:N323)</f>
        <v>2200000</v>
      </c>
      <c r="P323" s="12">
        <f>G323-H323-I323-O323</f>
        <v>0</v>
      </c>
    </row>
    <row r="324" spans="1:16" s="10" customFormat="1" ht="12.75" customHeight="1" hidden="1">
      <c r="A324" s="98"/>
      <c r="B324" s="98"/>
      <c r="C324" s="101"/>
      <c r="D324" s="95"/>
      <c r="E324" s="95"/>
      <c r="F324" s="3" t="s">
        <v>10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14">
        <f>SUM(J324:N324)</f>
        <v>0</v>
      </c>
      <c r="P324" s="12">
        <f>G324-H324-I324-O324</f>
        <v>0</v>
      </c>
    </row>
    <row r="325" spans="1:16" s="10" customFormat="1" ht="12.75" customHeight="1" hidden="1">
      <c r="A325" s="99"/>
      <c r="B325" s="99"/>
      <c r="C325" s="102"/>
      <c r="D325" s="96"/>
      <c r="E325" s="96"/>
      <c r="F325" s="3" t="s">
        <v>38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14">
        <f>SUM(J325:N325)</f>
        <v>0</v>
      </c>
      <c r="P325" s="12">
        <f>G325-H325-I325-O325</f>
        <v>0</v>
      </c>
    </row>
    <row r="326" spans="1:16" s="10" customFormat="1" ht="49.5" customHeight="1">
      <c r="A326" s="97">
        <v>57</v>
      </c>
      <c r="B326" s="97">
        <v>75</v>
      </c>
      <c r="C326" s="100" t="s">
        <v>23</v>
      </c>
      <c r="D326" s="94">
        <v>2011</v>
      </c>
      <c r="E326" s="94">
        <v>2013</v>
      </c>
      <c r="F326" s="23" t="s">
        <v>110</v>
      </c>
      <c r="G326" s="11">
        <f>SUBTOTAL(9,G327:G329)</f>
        <v>3500000</v>
      </c>
      <c r="H326" s="11">
        <f>SUBTOTAL(9,H327:H329)</f>
        <v>0</v>
      </c>
      <c r="I326" s="11">
        <f aca="true" t="shared" si="92" ref="I326:P326">SUBTOTAL(9,I327:I329)</f>
        <v>0</v>
      </c>
      <c r="J326" s="11">
        <f t="shared" si="92"/>
        <v>0</v>
      </c>
      <c r="K326" s="11">
        <f t="shared" si="92"/>
        <v>0</v>
      </c>
      <c r="L326" s="11">
        <f t="shared" si="92"/>
        <v>100000</v>
      </c>
      <c r="M326" s="11">
        <f t="shared" si="92"/>
        <v>1700000</v>
      </c>
      <c r="N326" s="11">
        <f t="shared" si="92"/>
        <v>1700000</v>
      </c>
      <c r="O326" s="11">
        <f t="shared" si="92"/>
        <v>3500000</v>
      </c>
      <c r="P326" s="11">
        <f t="shared" si="92"/>
        <v>0</v>
      </c>
    </row>
    <row r="327" spans="1:16" s="10" customFormat="1" ht="12.75" customHeight="1" hidden="1">
      <c r="A327" s="98"/>
      <c r="B327" s="98"/>
      <c r="C327" s="101"/>
      <c r="D327" s="95"/>
      <c r="E327" s="95"/>
      <c r="F327" s="23" t="s">
        <v>8</v>
      </c>
      <c r="G327" s="13">
        <v>3500000</v>
      </c>
      <c r="H327" s="13">
        <v>0</v>
      </c>
      <c r="I327" s="11">
        <v>0</v>
      </c>
      <c r="J327" s="13">
        <v>0</v>
      </c>
      <c r="K327" s="11">
        <v>0</v>
      </c>
      <c r="L327" s="9">
        <v>100000</v>
      </c>
      <c r="M327" s="9">
        <v>1700000</v>
      </c>
      <c r="N327" s="9">
        <v>1700000</v>
      </c>
      <c r="O327" s="14">
        <f>SUM(J327:N327)</f>
        <v>3500000</v>
      </c>
      <c r="P327" s="12">
        <f>G327-H327-I327-O327</f>
        <v>0</v>
      </c>
    </row>
    <row r="328" spans="1:16" s="10" customFormat="1" ht="12.75" customHeight="1" hidden="1">
      <c r="A328" s="98"/>
      <c r="B328" s="98"/>
      <c r="C328" s="101"/>
      <c r="D328" s="95"/>
      <c r="E328" s="95"/>
      <c r="F328" s="3" t="s">
        <v>10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14">
        <f>SUM(J328:N328)</f>
        <v>0</v>
      </c>
      <c r="P328" s="12">
        <f>G328-H328-I328-O328</f>
        <v>0</v>
      </c>
    </row>
    <row r="329" spans="1:16" s="10" customFormat="1" ht="12.75" customHeight="1" hidden="1">
      <c r="A329" s="99"/>
      <c r="B329" s="99"/>
      <c r="C329" s="102"/>
      <c r="D329" s="96"/>
      <c r="E329" s="96"/>
      <c r="F329" s="3" t="s">
        <v>38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14">
        <f>SUM(J329:N329)</f>
        <v>0</v>
      </c>
      <c r="P329" s="12">
        <f>G329-H329-I329-O329</f>
        <v>0</v>
      </c>
    </row>
    <row r="330" spans="1:16" s="10" customFormat="1" ht="30" customHeight="1">
      <c r="A330" s="97">
        <v>52</v>
      </c>
      <c r="B330" s="97">
        <v>76</v>
      </c>
      <c r="C330" s="100" t="s">
        <v>29</v>
      </c>
      <c r="D330" s="94">
        <v>2012</v>
      </c>
      <c r="E330" s="94">
        <v>2012</v>
      </c>
      <c r="F330" s="23" t="s">
        <v>110</v>
      </c>
      <c r="G330" s="11">
        <f>SUBTOTAL(9,G331:G333)</f>
        <v>1000000</v>
      </c>
      <c r="H330" s="11">
        <f>SUBTOTAL(9,H331:H333)</f>
        <v>0</v>
      </c>
      <c r="I330" s="11">
        <f aca="true" t="shared" si="93" ref="I330:P330">SUBTOTAL(9,I331:I333)</f>
        <v>0</v>
      </c>
      <c r="J330" s="11">
        <f t="shared" si="93"/>
        <v>0</v>
      </c>
      <c r="K330" s="11">
        <f t="shared" si="93"/>
        <v>0</v>
      </c>
      <c r="L330" s="11">
        <f t="shared" si="93"/>
        <v>0</v>
      </c>
      <c r="M330" s="11">
        <f t="shared" si="93"/>
        <v>1000000</v>
      </c>
      <c r="N330" s="11">
        <f t="shared" si="93"/>
        <v>0</v>
      </c>
      <c r="O330" s="11">
        <f t="shared" si="93"/>
        <v>1000000</v>
      </c>
      <c r="P330" s="11">
        <f t="shared" si="93"/>
        <v>0</v>
      </c>
    </row>
    <row r="331" spans="1:16" s="10" customFormat="1" ht="12.75" customHeight="1" hidden="1">
      <c r="A331" s="98"/>
      <c r="B331" s="98"/>
      <c r="C331" s="101"/>
      <c r="D331" s="95"/>
      <c r="E331" s="95"/>
      <c r="F331" s="23" t="s">
        <v>8</v>
      </c>
      <c r="G331" s="11">
        <v>1000000</v>
      </c>
      <c r="H331" s="13">
        <v>0</v>
      </c>
      <c r="I331" s="11"/>
      <c r="J331" s="9">
        <v>0</v>
      </c>
      <c r="K331" s="9">
        <v>0</v>
      </c>
      <c r="L331" s="9">
        <v>0</v>
      </c>
      <c r="M331" s="13">
        <v>1000000</v>
      </c>
      <c r="N331" s="13">
        <v>0</v>
      </c>
      <c r="O331" s="14">
        <f>SUM(J331:N331)</f>
        <v>1000000</v>
      </c>
      <c r="P331" s="12">
        <f>G331-H331-I331-O331</f>
        <v>0</v>
      </c>
    </row>
    <row r="332" spans="1:16" s="10" customFormat="1" ht="12.75" customHeight="1" hidden="1">
      <c r="A332" s="98"/>
      <c r="B332" s="98"/>
      <c r="C332" s="101"/>
      <c r="D332" s="95"/>
      <c r="E332" s="95"/>
      <c r="F332" s="3" t="s">
        <v>10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14">
        <f>SUM(J332:N332)</f>
        <v>0</v>
      </c>
      <c r="P332" s="12">
        <f>G332-H332-I332-O332</f>
        <v>0</v>
      </c>
    </row>
    <row r="333" spans="1:16" s="10" customFormat="1" ht="12.75" customHeight="1" hidden="1">
      <c r="A333" s="99"/>
      <c r="B333" s="99"/>
      <c r="C333" s="102"/>
      <c r="D333" s="96"/>
      <c r="E333" s="96"/>
      <c r="F333" s="3" t="s">
        <v>38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14">
        <f>SUM(J333:N333)</f>
        <v>0</v>
      </c>
      <c r="P333" s="12">
        <f>G333-H333-I333-O333</f>
        <v>0</v>
      </c>
    </row>
    <row r="334" spans="1:16" s="10" customFormat="1" ht="49.5" customHeight="1">
      <c r="A334" s="97">
        <v>58</v>
      </c>
      <c r="B334" s="97">
        <v>77</v>
      </c>
      <c r="C334" s="100" t="s">
        <v>24</v>
      </c>
      <c r="D334" s="94">
        <v>2012</v>
      </c>
      <c r="E334" s="94">
        <v>2012</v>
      </c>
      <c r="F334" s="23" t="s">
        <v>110</v>
      </c>
      <c r="G334" s="11">
        <f>SUBTOTAL(9,G335:G337)</f>
        <v>700000</v>
      </c>
      <c r="H334" s="11">
        <f>SUBTOTAL(9,H335:H337)</f>
        <v>0</v>
      </c>
      <c r="I334" s="11">
        <f aca="true" t="shared" si="94" ref="I334:P334">SUBTOTAL(9,I335:I337)</f>
        <v>0</v>
      </c>
      <c r="J334" s="11">
        <f t="shared" si="94"/>
        <v>0</v>
      </c>
      <c r="K334" s="11">
        <f t="shared" si="94"/>
        <v>0</v>
      </c>
      <c r="L334" s="11">
        <f t="shared" si="94"/>
        <v>0</v>
      </c>
      <c r="M334" s="11">
        <f t="shared" si="94"/>
        <v>700000</v>
      </c>
      <c r="N334" s="11">
        <f t="shared" si="94"/>
        <v>0</v>
      </c>
      <c r="O334" s="11">
        <f t="shared" si="94"/>
        <v>700000</v>
      </c>
      <c r="P334" s="11">
        <f t="shared" si="94"/>
        <v>0</v>
      </c>
    </row>
    <row r="335" spans="1:16" s="10" customFormat="1" ht="12.75" customHeight="1" hidden="1">
      <c r="A335" s="98"/>
      <c r="B335" s="98"/>
      <c r="C335" s="101"/>
      <c r="D335" s="95"/>
      <c r="E335" s="95"/>
      <c r="F335" s="23" t="s">
        <v>8</v>
      </c>
      <c r="G335" s="13">
        <v>700000</v>
      </c>
      <c r="H335" s="13">
        <v>0</v>
      </c>
      <c r="I335" s="11">
        <v>0</v>
      </c>
      <c r="J335" s="13">
        <v>0</v>
      </c>
      <c r="K335" s="11">
        <v>0</v>
      </c>
      <c r="L335" s="11">
        <v>0</v>
      </c>
      <c r="M335" s="13">
        <v>700000</v>
      </c>
      <c r="N335" s="13">
        <v>0</v>
      </c>
      <c r="O335" s="14">
        <f>SUM(J335:N335)</f>
        <v>700000</v>
      </c>
      <c r="P335" s="12">
        <f>G335-H335-I335-O335</f>
        <v>0</v>
      </c>
    </row>
    <row r="336" spans="1:16" s="10" customFormat="1" ht="12.75" customHeight="1" hidden="1">
      <c r="A336" s="98"/>
      <c r="B336" s="98"/>
      <c r="C336" s="101"/>
      <c r="D336" s="95"/>
      <c r="E336" s="95"/>
      <c r="F336" s="3" t="s">
        <v>10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14">
        <f>SUM(J336:N336)</f>
        <v>0</v>
      </c>
      <c r="P336" s="12">
        <f>G336-H336-I336-O336</f>
        <v>0</v>
      </c>
    </row>
    <row r="337" spans="1:16" s="10" customFormat="1" ht="12.75" customHeight="1" hidden="1">
      <c r="A337" s="99"/>
      <c r="B337" s="99"/>
      <c r="C337" s="102"/>
      <c r="D337" s="96"/>
      <c r="E337" s="96"/>
      <c r="F337" s="3" t="s">
        <v>38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14">
        <f>SUM(J337:N337)</f>
        <v>0</v>
      </c>
      <c r="P337" s="12">
        <f>G337-H337-I337-O337</f>
        <v>0</v>
      </c>
    </row>
    <row r="338" spans="1:16" s="10" customFormat="1" ht="60" customHeight="1">
      <c r="A338" s="97">
        <v>59</v>
      </c>
      <c r="B338" s="97">
        <v>78</v>
      </c>
      <c r="C338" s="100" t="s">
        <v>25</v>
      </c>
      <c r="D338" s="94">
        <v>2012</v>
      </c>
      <c r="E338" s="94">
        <v>2013</v>
      </c>
      <c r="F338" s="23" t="s">
        <v>110</v>
      </c>
      <c r="G338" s="11">
        <f>SUBTOTAL(9,G339:G341)</f>
        <v>3000000</v>
      </c>
      <c r="H338" s="11">
        <f>SUBTOTAL(9,H339:H341)</f>
        <v>0</v>
      </c>
      <c r="I338" s="11">
        <f aca="true" t="shared" si="95" ref="I338:P338">SUBTOTAL(9,I339:I341)</f>
        <v>0</v>
      </c>
      <c r="J338" s="11">
        <f t="shared" si="95"/>
        <v>0</v>
      </c>
      <c r="K338" s="11">
        <f t="shared" si="95"/>
        <v>0</v>
      </c>
      <c r="L338" s="11">
        <f t="shared" si="95"/>
        <v>0</v>
      </c>
      <c r="M338" s="11">
        <f t="shared" si="95"/>
        <v>1500000</v>
      </c>
      <c r="N338" s="11">
        <f t="shared" si="95"/>
        <v>1500000</v>
      </c>
      <c r="O338" s="11">
        <f t="shared" si="95"/>
        <v>3000000</v>
      </c>
      <c r="P338" s="11">
        <f t="shared" si="95"/>
        <v>0</v>
      </c>
    </row>
    <row r="339" spans="1:16" s="10" customFormat="1" ht="13.5" customHeight="1" hidden="1">
      <c r="A339" s="98"/>
      <c r="B339" s="98"/>
      <c r="C339" s="101"/>
      <c r="D339" s="95"/>
      <c r="E339" s="95"/>
      <c r="F339" s="23" t="s">
        <v>8</v>
      </c>
      <c r="G339" s="13">
        <v>3000000</v>
      </c>
      <c r="H339" s="13">
        <v>0</v>
      </c>
      <c r="I339" s="11">
        <v>0</v>
      </c>
      <c r="J339" s="13">
        <v>0</v>
      </c>
      <c r="K339" s="11">
        <v>0</v>
      </c>
      <c r="L339" s="11">
        <v>0</v>
      </c>
      <c r="M339" s="13">
        <v>1500000</v>
      </c>
      <c r="N339" s="13">
        <v>1500000</v>
      </c>
      <c r="O339" s="14">
        <f>SUM(J339:N339)</f>
        <v>3000000</v>
      </c>
      <c r="P339" s="12">
        <f>G339-H339-I339-O339</f>
        <v>0</v>
      </c>
    </row>
    <row r="340" spans="1:16" s="10" customFormat="1" ht="13.5" customHeight="1" hidden="1">
      <c r="A340" s="98"/>
      <c r="B340" s="98"/>
      <c r="C340" s="101"/>
      <c r="D340" s="95"/>
      <c r="E340" s="95"/>
      <c r="F340" s="3" t="s">
        <v>10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14">
        <f>SUM(J340:N340)</f>
        <v>0</v>
      </c>
      <c r="P340" s="12">
        <f>G340-H340-I340-O340</f>
        <v>0</v>
      </c>
    </row>
    <row r="341" spans="1:16" s="10" customFormat="1" ht="13.5" customHeight="1" hidden="1">
      <c r="A341" s="99"/>
      <c r="B341" s="99"/>
      <c r="C341" s="102"/>
      <c r="D341" s="96"/>
      <c r="E341" s="96"/>
      <c r="F341" s="3" t="s">
        <v>38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14">
        <f>SUM(J341:N341)</f>
        <v>0</v>
      </c>
      <c r="P341" s="12">
        <f>G341-H341-I341-O341</f>
        <v>0</v>
      </c>
    </row>
    <row r="342" spans="2:16" s="10" customFormat="1" ht="12.75" customHeight="1">
      <c r="B342" s="106" t="s">
        <v>98</v>
      </c>
      <c r="C342" s="107"/>
      <c r="D342" s="107"/>
      <c r="E342" s="108"/>
      <c r="F342" s="46" t="s">
        <v>36</v>
      </c>
      <c r="G342" s="47">
        <f aca="true" t="shared" si="96" ref="G342:P342">SUBTOTAL(9,G343:G394)</f>
        <v>734000</v>
      </c>
      <c r="H342" s="47">
        <f t="shared" si="96"/>
        <v>11000</v>
      </c>
      <c r="I342" s="47">
        <f t="shared" si="96"/>
        <v>723000</v>
      </c>
      <c r="J342" s="47">
        <f t="shared" si="96"/>
        <v>0</v>
      </c>
      <c r="K342" s="47">
        <f t="shared" si="96"/>
        <v>0</v>
      </c>
      <c r="L342" s="47">
        <f t="shared" si="96"/>
        <v>0</v>
      </c>
      <c r="M342" s="47">
        <f t="shared" si="96"/>
        <v>0</v>
      </c>
      <c r="N342" s="47">
        <f t="shared" si="96"/>
        <v>0</v>
      </c>
      <c r="O342" s="47">
        <f t="shared" si="96"/>
        <v>0</v>
      </c>
      <c r="P342" s="47">
        <f t="shared" si="96"/>
        <v>0</v>
      </c>
    </row>
    <row r="343" spans="1:16" s="10" customFormat="1" ht="30" customHeight="1">
      <c r="A343" s="97">
        <v>52</v>
      </c>
      <c r="B343" s="77">
        <v>79</v>
      </c>
      <c r="C343" s="78" t="s">
        <v>102</v>
      </c>
      <c r="D343" s="79">
        <v>2007</v>
      </c>
      <c r="E343" s="79">
        <v>2008</v>
      </c>
      <c r="F343" s="23" t="s">
        <v>110</v>
      </c>
      <c r="G343" s="11">
        <f>SUBTOTAL(9,G344:G346)</f>
        <v>734000</v>
      </c>
      <c r="H343" s="11">
        <f>SUBTOTAL(9,H344:H346)</f>
        <v>11000</v>
      </c>
      <c r="I343" s="11">
        <f aca="true" t="shared" si="97" ref="I343:P343">SUBTOTAL(9,I344:I346)</f>
        <v>723000</v>
      </c>
      <c r="J343" s="11">
        <f t="shared" si="97"/>
        <v>0</v>
      </c>
      <c r="K343" s="11">
        <f t="shared" si="97"/>
        <v>0</v>
      </c>
      <c r="L343" s="11">
        <f t="shared" si="97"/>
        <v>0</v>
      </c>
      <c r="M343" s="11">
        <f t="shared" si="97"/>
        <v>0</v>
      </c>
      <c r="N343" s="11">
        <f t="shared" si="97"/>
        <v>0</v>
      </c>
      <c r="O343" s="11">
        <f t="shared" si="97"/>
        <v>0</v>
      </c>
      <c r="P343" s="11">
        <f t="shared" si="97"/>
        <v>0</v>
      </c>
    </row>
    <row r="344" spans="1:16" s="10" customFormat="1" ht="9" customHeight="1" hidden="1">
      <c r="A344" s="98"/>
      <c r="B344" s="67"/>
      <c r="C344" s="69"/>
      <c r="D344" s="65"/>
      <c r="E344" s="65"/>
      <c r="F344" s="23" t="s">
        <v>8</v>
      </c>
      <c r="G344" s="11">
        <v>734000</v>
      </c>
      <c r="H344" s="13">
        <v>11000</v>
      </c>
      <c r="I344" s="11">
        <v>723000</v>
      </c>
      <c r="J344" s="9">
        <v>0</v>
      </c>
      <c r="K344" s="9">
        <v>0</v>
      </c>
      <c r="L344" s="9">
        <v>0</v>
      </c>
      <c r="M344" s="9">
        <v>0</v>
      </c>
      <c r="N344" s="13"/>
      <c r="O344" s="14">
        <f>SUM(J344:N344)</f>
        <v>0</v>
      </c>
      <c r="P344" s="12">
        <f>G344-H344-I344-O344</f>
        <v>0</v>
      </c>
    </row>
    <row r="345" spans="1:16" s="10" customFormat="1" ht="12.75" customHeight="1" hidden="1">
      <c r="A345" s="98"/>
      <c r="B345" s="67"/>
      <c r="C345" s="69"/>
      <c r="D345" s="65"/>
      <c r="E345" s="65"/>
      <c r="F345" s="3" t="s">
        <v>10</v>
      </c>
      <c r="G345" s="9">
        <v>0</v>
      </c>
      <c r="H345" s="9"/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14">
        <f>SUM(J345:N345)</f>
        <v>0</v>
      </c>
      <c r="P345" s="12">
        <f>G345-H345-I345-O345</f>
        <v>0</v>
      </c>
    </row>
    <row r="346" spans="1:16" s="10" customFormat="1" ht="12.75" customHeight="1" hidden="1">
      <c r="A346" s="99"/>
      <c r="B346" s="68"/>
      <c r="C346" s="70"/>
      <c r="D346" s="66"/>
      <c r="E346" s="66"/>
      <c r="F346" s="3" t="s">
        <v>38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14">
        <f>SUM(J346:N346)</f>
        <v>0</v>
      </c>
      <c r="P346" s="12">
        <f>G346-H346-I346-O346</f>
        <v>0</v>
      </c>
    </row>
    <row r="347" spans="1:16" s="10" customFormat="1" ht="12.75" customHeight="1">
      <c r="A347" s="24"/>
      <c r="B347" s="24"/>
      <c r="C347" s="25"/>
      <c r="D347" s="26"/>
      <c r="E347" s="26"/>
      <c r="F347" s="27"/>
      <c r="G347" s="28"/>
      <c r="H347" s="28"/>
      <c r="I347" s="28"/>
      <c r="J347" s="28"/>
      <c r="K347" s="28"/>
      <c r="L347" s="28"/>
      <c r="M347" s="28"/>
      <c r="N347" s="28"/>
      <c r="O347" s="28"/>
      <c r="P347" s="29"/>
    </row>
    <row r="348" spans="1:16" s="10" customFormat="1" ht="12.75" customHeight="1">
      <c r="A348" s="24"/>
      <c r="B348" s="24"/>
      <c r="C348" s="25"/>
      <c r="D348" s="26"/>
      <c r="E348" s="26"/>
      <c r="F348" s="27"/>
      <c r="G348" s="28"/>
      <c r="H348" s="28"/>
      <c r="I348" s="28"/>
      <c r="J348" s="28"/>
      <c r="K348" s="28"/>
      <c r="L348" s="28"/>
      <c r="M348" s="28"/>
      <c r="N348" s="28"/>
      <c r="O348" s="28"/>
      <c r="P348" s="29"/>
    </row>
    <row r="349" spans="1:16" s="10" customFormat="1" ht="12.75" customHeight="1">
      <c r="A349" s="24"/>
      <c r="B349" s="24"/>
      <c r="C349" s="25"/>
      <c r="D349" s="26"/>
      <c r="E349" s="26"/>
      <c r="F349" s="27"/>
      <c r="G349" s="28"/>
      <c r="H349" s="28"/>
      <c r="I349" s="28"/>
      <c r="J349" s="28"/>
      <c r="K349" s="28"/>
      <c r="L349" s="28"/>
      <c r="M349" s="28"/>
      <c r="N349" s="28"/>
      <c r="O349" s="28"/>
      <c r="P349" s="29"/>
    </row>
    <row r="350" spans="1:16" s="10" customFormat="1" ht="12.75" customHeight="1">
      <c r="A350" s="24"/>
      <c r="B350" s="24"/>
      <c r="C350" s="25"/>
      <c r="D350" s="26"/>
      <c r="E350" s="26"/>
      <c r="F350" s="27"/>
      <c r="G350" s="28"/>
      <c r="H350" s="28"/>
      <c r="I350" s="28"/>
      <c r="J350" s="28"/>
      <c r="K350" s="28"/>
      <c r="L350" s="28"/>
      <c r="M350" s="28"/>
      <c r="N350" s="28"/>
      <c r="O350" s="29"/>
      <c r="P350" s="29"/>
    </row>
    <row r="351" spans="1:16" s="10" customFormat="1" ht="12.75" customHeight="1">
      <c r="A351" s="24"/>
      <c r="B351" s="24"/>
      <c r="C351" s="25"/>
      <c r="D351" s="26"/>
      <c r="E351" s="26"/>
      <c r="F351" s="27"/>
      <c r="G351" s="28"/>
      <c r="H351" s="28"/>
      <c r="I351" s="28"/>
      <c r="J351" s="28"/>
      <c r="K351" s="28"/>
      <c r="L351" s="28"/>
      <c r="M351" s="28"/>
      <c r="N351" s="28"/>
      <c r="O351" s="29"/>
      <c r="P351" s="29"/>
    </row>
  </sheetData>
  <sheetProtection password="CC5C" sheet="1" objects="1" scenarios="1" selectLockedCells="1" selectUnlockedCells="1"/>
  <mergeCells count="380">
    <mergeCell ref="B17:E17"/>
    <mergeCell ref="B18:E18"/>
    <mergeCell ref="B142:B145"/>
    <mergeCell ref="B13:E13"/>
    <mergeCell ref="B14:E14"/>
    <mergeCell ref="B15:E15"/>
    <mergeCell ref="B16:E16"/>
    <mergeCell ref="E281:E284"/>
    <mergeCell ref="C249:C252"/>
    <mergeCell ref="D249:D252"/>
    <mergeCell ref="E249:E252"/>
    <mergeCell ref="B294:B297"/>
    <mergeCell ref="E286:E289"/>
    <mergeCell ref="B273:B276"/>
    <mergeCell ref="C273:C276"/>
    <mergeCell ref="C277:C280"/>
    <mergeCell ref="B277:B280"/>
    <mergeCell ref="B281:B284"/>
    <mergeCell ref="C281:C284"/>
    <mergeCell ref="D286:D289"/>
    <mergeCell ref="E277:E280"/>
    <mergeCell ref="B269:B272"/>
    <mergeCell ref="B302:B305"/>
    <mergeCell ref="C302:C305"/>
    <mergeCell ref="D302:D305"/>
    <mergeCell ref="D277:D280"/>
    <mergeCell ref="B286:B289"/>
    <mergeCell ref="B290:B293"/>
    <mergeCell ref="C290:C293"/>
    <mergeCell ref="D290:D293"/>
    <mergeCell ref="D281:D284"/>
    <mergeCell ref="C62:C65"/>
    <mergeCell ref="D58:D61"/>
    <mergeCell ref="E58:E61"/>
    <mergeCell ref="D294:D297"/>
    <mergeCell ref="E290:E293"/>
    <mergeCell ref="C261:C264"/>
    <mergeCell ref="D261:D264"/>
    <mergeCell ref="C257:C260"/>
    <mergeCell ref="D257:D260"/>
    <mergeCell ref="D269:D272"/>
    <mergeCell ref="E233:E236"/>
    <mergeCell ref="B249:B252"/>
    <mergeCell ref="B241:B244"/>
    <mergeCell ref="C241:C244"/>
    <mergeCell ref="C237:C240"/>
    <mergeCell ref="B233:B236"/>
    <mergeCell ref="C233:C236"/>
    <mergeCell ref="E150:E153"/>
    <mergeCell ref="E170:E173"/>
    <mergeCell ref="B221:B224"/>
    <mergeCell ref="B206:B209"/>
    <mergeCell ref="E237:E240"/>
    <mergeCell ref="C174:C177"/>
    <mergeCell ref="E45:E48"/>
    <mergeCell ref="B170:B173"/>
    <mergeCell ref="C170:C173"/>
    <mergeCell ref="C166:C169"/>
    <mergeCell ref="C154:C157"/>
    <mergeCell ref="C126:C129"/>
    <mergeCell ref="E166:E169"/>
    <mergeCell ref="D154:D157"/>
    <mergeCell ref="D174:D177"/>
    <mergeCell ref="B229:B232"/>
    <mergeCell ref="E174:E177"/>
    <mergeCell ref="E261:E264"/>
    <mergeCell ref="D202:D205"/>
    <mergeCell ref="D233:D236"/>
    <mergeCell ref="D241:D244"/>
    <mergeCell ref="E241:E244"/>
    <mergeCell ref="B220:E220"/>
    <mergeCell ref="D237:D240"/>
    <mergeCell ref="E178:E181"/>
    <mergeCell ref="C229:C232"/>
    <mergeCell ref="E182:E185"/>
    <mergeCell ref="E206:E209"/>
    <mergeCell ref="B215:E215"/>
    <mergeCell ref="B194:B197"/>
    <mergeCell ref="D182:D185"/>
    <mergeCell ref="C225:C228"/>
    <mergeCell ref="D162:D165"/>
    <mergeCell ref="D170:D173"/>
    <mergeCell ref="E154:E157"/>
    <mergeCell ref="E162:E165"/>
    <mergeCell ref="D158:D161"/>
    <mergeCell ref="D166:D169"/>
    <mergeCell ref="I5:N5"/>
    <mergeCell ref="C150:C153"/>
    <mergeCell ref="D150:D153"/>
    <mergeCell ref="E41:E44"/>
    <mergeCell ref="E146:E149"/>
    <mergeCell ref="B8:E11"/>
    <mergeCell ref="B20:E20"/>
    <mergeCell ref="C142:C145"/>
    <mergeCell ref="C134:C137"/>
    <mergeCell ref="C130:C133"/>
    <mergeCell ref="E49:E52"/>
    <mergeCell ref="D21:D24"/>
    <mergeCell ref="E21:E24"/>
    <mergeCell ref="C21:C24"/>
    <mergeCell ref="C146:C149"/>
    <mergeCell ref="D70:D73"/>
    <mergeCell ref="C106:C109"/>
    <mergeCell ref="D106:D109"/>
    <mergeCell ref="D142:D145"/>
    <mergeCell ref="C29:C32"/>
    <mergeCell ref="D29:D32"/>
    <mergeCell ref="D45:D48"/>
    <mergeCell ref="B57:E57"/>
    <mergeCell ref="D62:D65"/>
    <mergeCell ref="E62:E65"/>
    <mergeCell ref="B58:B61"/>
    <mergeCell ref="C58:C61"/>
    <mergeCell ref="B62:B65"/>
    <mergeCell ref="B2:P2"/>
    <mergeCell ref="B4:P4"/>
    <mergeCell ref="B5:B6"/>
    <mergeCell ref="C5:C6"/>
    <mergeCell ref="D5:E5"/>
    <mergeCell ref="F5:F6"/>
    <mergeCell ref="G5:G6"/>
    <mergeCell ref="P5:P6"/>
    <mergeCell ref="H5:H6"/>
    <mergeCell ref="O5:O6"/>
    <mergeCell ref="B49:B52"/>
    <mergeCell ref="C49:C52"/>
    <mergeCell ref="D49:D52"/>
    <mergeCell ref="B41:B44"/>
    <mergeCell ref="C41:C44"/>
    <mergeCell ref="B21:B24"/>
    <mergeCell ref="B45:B48"/>
    <mergeCell ref="C45:C48"/>
    <mergeCell ref="E29:E32"/>
    <mergeCell ref="B25:B28"/>
    <mergeCell ref="C25:C28"/>
    <mergeCell ref="D25:D28"/>
    <mergeCell ref="E25:E28"/>
    <mergeCell ref="D41:D44"/>
    <mergeCell ref="B29:B32"/>
    <mergeCell ref="E70:E73"/>
    <mergeCell ref="B66:B69"/>
    <mergeCell ref="C66:C69"/>
    <mergeCell ref="D66:D69"/>
    <mergeCell ref="E66:E69"/>
    <mergeCell ref="B70:B73"/>
    <mergeCell ref="C70:C73"/>
    <mergeCell ref="E158:E161"/>
    <mergeCell ref="E106:E109"/>
    <mergeCell ref="B110:B113"/>
    <mergeCell ref="C110:C113"/>
    <mergeCell ref="B118:B121"/>
    <mergeCell ref="C118:C121"/>
    <mergeCell ref="E114:E117"/>
    <mergeCell ref="E118:E121"/>
    <mergeCell ref="D118:D121"/>
    <mergeCell ref="B114:B117"/>
    <mergeCell ref="E126:E129"/>
    <mergeCell ref="B158:B161"/>
    <mergeCell ref="C158:C161"/>
    <mergeCell ref="D126:D129"/>
    <mergeCell ref="D134:D137"/>
    <mergeCell ref="E142:E145"/>
    <mergeCell ref="E134:E137"/>
    <mergeCell ref="B126:B129"/>
    <mergeCell ref="B134:B137"/>
    <mergeCell ref="B150:B153"/>
    <mergeCell ref="E122:E125"/>
    <mergeCell ref="D130:D133"/>
    <mergeCell ref="E130:E133"/>
    <mergeCell ref="D229:D232"/>
    <mergeCell ref="E229:E232"/>
    <mergeCell ref="D221:D224"/>
    <mergeCell ref="E221:E224"/>
    <mergeCell ref="D206:D209"/>
    <mergeCell ref="D225:D228"/>
    <mergeCell ref="E225:E228"/>
    <mergeCell ref="C194:C197"/>
    <mergeCell ref="D194:D197"/>
    <mergeCell ref="E202:E205"/>
    <mergeCell ref="C202:C205"/>
    <mergeCell ref="E194:E197"/>
    <mergeCell ref="E294:E297"/>
    <mergeCell ref="D310:D313"/>
    <mergeCell ref="E310:E313"/>
    <mergeCell ref="E298:E301"/>
    <mergeCell ref="E302:E305"/>
    <mergeCell ref="E330:E333"/>
    <mergeCell ref="D322:D325"/>
    <mergeCell ref="D298:D301"/>
    <mergeCell ref="D318:D321"/>
    <mergeCell ref="E318:E321"/>
    <mergeCell ref="D330:D333"/>
    <mergeCell ref="E338:E341"/>
    <mergeCell ref="D334:D337"/>
    <mergeCell ref="E334:E337"/>
    <mergeCell ref="D338:D341"/>
    <mergeCell ref="C334:C337"/>
    <mergeCell ref="B310:B313"/>
    <mergeCell ref="B338:B341"/>
    <mergeCell ref="C338:C341"/>
    <mergeCell ref="B326:B329"/>
    <mergeCell ref="C326:C329"/>
    <mergeCell ref="C322:C325"/>
    <mergeCell ref="B330:B333"/>
    <mergeCell ref="C330:C333"/>
    <mergeCell ref="B334:B337"/>
    <mergeCell ref="A5:A6"/>
    <mergeCell ref="A21:A24"/>
    <mergeCell ref="A25:A28"/>
    <mergeCell ref="A29:A32"/>
    <mergeCell ref="A98:A101"/>
    <mergeCell ref="A33:A36"/>
    <mergeCell ref="C314:C317"/>
    <mergeCell ref="C286:C289"/>
    <mergeCell ref="B225:B228"/>
    <mergeCell ref="B122:B125"/>
    <mergeCell ref="B106:B109"/>
    <mergeCell ref="A78:A81"/>
    <mergeCell ref="A90:A93"/>
    <mergeCell ref="A118:A121"/>
    <mergeCell ref="A37:A40"/>
    <mergeCell ref="A49:A52"/>
    <mergeCell ref="A45:A48"/>
    <mergeCell ref="A74:A77"/>
    <mergeCell ref="A66:A69"/>
    <mergeCell ref="A70:A73"/>
    <mergeCell ref="A53:A56"/>
    <mergeCell ref="A58:A61"/>
    <mergeCell ref="A41:A44"/>
    <mergeCell ref="A62:A65"/>
    <mergeCell ref="A138:A141"/>
    <mergeCell ref="A142:A145"/>
    <mergeCell ref="A130:A133"/>
    <mergeCell ref="A82:A85"/>
    <mergeCell ref="A114:A117"/>
    <mergeCell ref="A94:A97"/>
    <mergeCell ref="A86:A89"/>
    <mergeCell ref="A110:A113"/>
    <mergeCell ref="A102:A105"/>
    <mergeCell ref="A190:A193"/>
    <mergeCell ref="A106:A109"/>
    <mergeCell ref="A150:A153"/>
    <mergeCell ref="A170:A173"/>
    <mergeCell ref="A154:A157"/>
    <mergeCell ref="A162:A165"/>
    <mergeCell ref="A158:A161"/>
    <mergeCell ref="A146:A149"/>
    <mergeCell ref="A122:A125"/>
    <mergeCell ref="A166:A169"/>
    <mergeCell ref="A134:A137"/>
    <mergeCell ref="A126:A129"/>
    <mergeCell ref="A221:A224"/>
    <mergeCell ref="A178:A181"/>
    <mergeCell ref="A206:A209"/>
    <mergeCell ref="A194:A197"/>
    <mergeCell ref="A210:A213"/>
    <mergeCell ref="A202:A205"/>
    <mergeCell ref="A198:A201"/>
    <mergeCell ref="A225:A228"/>
    <mergeCell ref="A229:A232"/>
    <mergeCell ref="A261:A264"/>
    <mergeCell ref="A233:A236"/>
    <mergeCell ref="A237:A240"/>
    <mergeCell ref="A241:A244"/>
    <mergeCell ref="A249:A252"/>
    <mergeCell ref="A245:A248"/>
    <mergeCell ref="A277:A280"/>
    <mergeCell ref="A281:A284"/>
    <mergeCell ref="A253:A256"/>
    <mergeCell ref="A257:A260"/>
    <mergeCell ref="A265:A268"/>
    <mergeCell ref="A269:A272"/>
    <mergeCell ref="A273:A276"/>
    <mergeCell ref="A286:A289"/>
    <mergeCell ref="A314:A317"/>
    <mergeCell ref="A318:A321"/>
    <mergeCell ref="A306:A309"/>
    <mergeCell ref="A298:A301"/>
    <mergeCell ref="A290:A293"/>
    <mergeCell ref="A294:A297"/>
    <mergeCell ref="A302:A305"/>
    <mergeCell ref="A343:A346"/>
    <mergeCell ref="A310:A313"/>
    <mergeCell ref="A338:A341"/>
    <mergeCell ref="A334:A337"/>
    <mergeCell ref="A330:A333"/>
    <mergeCell ref="A322:A325"/>
    <mergeCell ref="A326:A329"/>
    <mergeCell ref="E273:E276"/>
    <mergeCell ref="B342:E342"/>
    <mergeCell ref="E326:E329"/>
    <mergeCell ref="E322:E325"/>
    <mergeCell ref="D314:D317"/>
    <mergeCell ref="E314:E317"/>
    <mergeCell ref="D273:D276"/>
    <mergeCell ref="D326:D329"/>
    <mergeCell ref="B285:E285"/>
    <mergeCell ref="B298:B301"/>
    <mergeCell ref="B198:B201"/>
    <mergeCell ref="B265:B268"/>
    <mergeCell ref="B237:B240"/>
    <mergeCell ref="B245:B248"/>
    <mergeCell ref="B257:B260"/>
    <mergeCell ref="B261:B264"/>
    <mergeCell ref="D198:D201"/>
    <mergeCell ref="C265:C268"/>
    <mergeCell ref="C269:C272"/>
    <mergeCell ref="C206:C209"/>
    <mergeCell ref="C221:C224"/>
    <mergeCell ref="B90:B93"/>
    <mergeCell ref="C90:C93"/>
    <mergeCell ref="E269:E272"/>
    <mergeCell ref="D265:D268"/>
    <mergeCell ref="E265:E268"/>
    <mergeCell ref="B182:B185"/>
    <mergeCell ref="B190:B193"/>
    <mergeCell ref="C182:C185"/>
    <mergeCell ref="B202:B205"/>
    <mergeCell ref="C198:C201"/>
    <mergeCell ref="C82:C85"/>
    <mergeCell ref="D94:D97"/>
    <mergeCell ref="C98:C101"/>
    <mergeCell ref="C122:C125"/>
    <mergeCell ref="D122:D125"/>
    <mergeCell ref="C94:C97"/>
    <mergeCell ref="D90:D93"/>
    <mergeCell ref="C114:C117"/>
    <mergeCell ref="B98:B101"/>
    <mergeCell ref="B94:B97"/>
    <mergeCell ref="C178:C181"/>
    <mergeCell ref="D178:D181"/>
    <mergeCell ref="B130:B133"/>
    <mergeCell ref="B178:B181"/>
    <mergeCell ref="B166:B169"/>
    <mergeCell ref="B154:B157"/>
    <mergeCell ref="B146:B149"/>
    <mergeCell ref="D146:D149"/>
    <mergeCell ref="C162:C165"/>
    <mergeCell ref="D114:D117"/>
    <mergeCell ref="B74:B77"/>
    <mergeCell ref="C74:C77"/>
    <mergeCell ref="D74:D77"/>
    <mergeCell ref="D98:D101"/>
    <mergeCell ref="B82:B85"/>
    <mergeCell ref="D82:D85"/>
    <mergeCell ref="B78:B81"/>
    <mergeCell ref="C78:C81"/>
    <mergeCell ref="A186:A189"/>
    <mergeCell ref="A182:A185"/>
    <mergeCell ref="A174:A177"/>
    <mergeCell ref="B174:B177"/>
    <mergeCell ref="C245:C248"/>
    <mergeCell ref="D245:D248"/>
    <mergeCell ref="E245:E248"/>
    <mergeCell ref="B102:B105"/>
    <mergeCell ref="C102:C105"/>
    <mergeCell ref="C190:C193"/>
    <mergeCell ref="E198:E201"/>
    <mergeCell ref="E190:E193"/>
    <mergeCell ref="D190:D193"/>
    <mergeCell ref="B162:B165"/>
    <mergeCell ref="B322:B325"/>
    <mergeCell ref="C294:C297"/>
    <mergeCell ref="E102:E105"/>
    <mergeCell ref="D102:D105"/>
    <mergeCell ref="C298:C301"/>
    <mergeCell ref="C310:C313"/>
    <mergeCell ref="B314:B317"/>
    <mergeCell ref="B318:B321"/>
    <mergeCell ref="C318:C321"/>
    <mergeCell ref="E257:E260"/>
    <mergeCell ref="E74:E77"/>
    <mergeCell ref="E90:E93"/>
    <mergeCell ref="D110:D113"/>
    <mergeCell ref="E110:E113"/>
    <mergeCell ref="D78:D81"/>
    <mergeCell ref="E78:E81"/>
    <mergeCell ref="E94:E97"/>
    <mergeCell ref="E98:E101"/>
    <mergeCell ref="E82:E8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4" r:id="rId1"/>
  <headerFooter alignWithMargins="0">
    <oddFooter>&amp;Cstrona &amp;P z &amp;N</oddFooter>
  </headerFooter>
  <rowBreaks count="4" manualBreakCount="4">
    <brk id="40" min="1" max="15" man="1"/>
    <brk id="189" min="1" max="15" man="1"/>
    <brk id="256" min="1" max="15" man="1"/>
    <brk id="30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Pieńkowska</dc:creator>
  <cp:keywords/>
  <dc:description/>
  <cp:lastModifiedBy>URZAD GMINY STARE BABICE</cp:lastModifiedBy>
  <cp:lastPrinted>2008-09-22T10:49:40Z</cp:lastPrinted>
  <dcterms:created xsi:type="dcterms:W3CDTF">2003-07-27T20:50:52Z</dcterms:created>
  <dcterms:modified xsi:type="dcterms:W3CDTF">2008-09-22T11:02:03Z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-1395644295</vt:i4>
  </property>
  <property fmtid="{D5CDD505-2E9C-101B-9397-08002B2CF9AE}" pid="3" name="_EmailSubject">
    <vt:lpwstr/>
  </property>
  <property fmtid="{D5CDD505-2E9C-101B-9397-08002B2CF9AE}" pid="4" name="_AuthorEmail">
    <vt:lpwstr>JWszelaka@warszawa.um.gov.pl</vt:lpwstr>
  </property>
  <property fmtid="{D5CDD505-2E9C-101B-9397-08002B2CF9AE}" pid="5" name="_AuthorEmailDisplayName">
    <vt:lpwstr>Wszelaka Justyna</vt:lpwstr>
  </property>
  <property fmtid="{D5CDD505-2E9C-101B-9397-08002B2CF9AE}" pid="6" name="_ReviewingToolsShownOnce">
    <vt:lpwstr/>
  </property>
</Properties>
</file>