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15" activeTab="0"/>
  </bookViews>
  <sheets>
    <sheet name="arkusz 1" sheetId="1" r:id="rId1"/>
  </sheets>
  <definedNames>
    <definedName name="_xlnm.Print_Area" localSheetId="0">'arkusz 1'!$C$1:$S$336</definedName>
    <definedName name="_xlnm.Print_Titles" localSheetId="0">'arkusz 1'!$4:$6</definedName>
  </definedNames>
  <calcPr fullCalcOnLoad="1"/>
</workbook>
</file>

<file path=xl/sharedStrings.xml><?xml version="1.0" encoding="utf-8"?>
<sst xmlns="http://schemas.openxmlformats.org/spreadsheetml/2006/main" count="748" uniqueCount="118">
  <si>
    <t>Termin</t>
  </si>
  <si>
    <t>Rozpocz.</t>
  </si>
  <si>
    <t>Zakończ.</t>
  </si>
  <si>
    <t>Lp.</t>
  </si>
  <si>
    <t>Żródła finansowania</t>
  </si>
  <si>
    <t>NAZWA ZADANIA/PROGRAMU  INWESTYCYJNEGO</t>
  </si>
  <si>
    <t xml:space="preserve">w tys. zł </t>
  </si>
  <si>
    <t>WYSOKOŚĆ WYDATKÓW NA REALIZACJĘ ZADAŃ</t>
  </si>
  <si>
    <t>ogółem 
z tego:</t>
  </si>
  <si>
    <t>w zł</t>
  </si>
  <si>
    <t xml:space="preserve">środki własne </t>
  </si>
  <si>
    <t>inne
(kredyty, pożyczki)</t>
  </si>
  <si>
    <t>Wieloletni Plan Inwestycyjny Gminy Stare Babice na lata 2008-2013</t>
  </si>
  <si>
    <t>Koszty poniesione do 31 grudnia 2006 r.</t>
  </si>
  <si>
    <t>Przewidywany całkowity koszt realizacji inwestycji</t>
  </si>
  <si>
    <t>Zaangażowanie wydatków (wydatki do poniesienia po 2013 r.)</t>
  </si>
  <si>
    <t>RAZEM WYDATKI INWESTYCYJNE,
w tym:</t>
  </si>
  <si>
    <t>Budowa wiat przystankowych na terenie Gminy</t>
  </si>
  <si>
    <t>Budowa ul. Pohulanka w Starych Babicach</t>
  </si>
  <si>
    <t>Modernizacja ulic w Latchorzewie</t>
  </si>
  <si>
    <t xml:space="preserve">Budowa nawierzchni asfaltowej drogi gminnej we wsi Latchorzew (ul. Na Skraju) </t>
  </si>
  <si>
    <t>Budowa ciągu pieszego (chodnika) we wsi Stare Babice, na odcinku ul. Wołodyjowskiego - skrzyżowanie ul. Sienkiewicza i ul. Szembeka</t>
  </si>
  <si>
    <t>Budowa ul. Piotra Skargi i Bolesława Prusa we wsi Blizne Jasińskiego</t>
  </si>
  <si>
    <t>Budowa drogi gminnej we wsi Janów, ul. Generała Maczka</t>
  </si>
  <si>
    <t>Budowa drogi gminnej we wsi Klaudyn, ul. Lutosławskiego</t>
  </si>
  <si>
    <t xml:space="preserve">Budowa dróg osiedlowych w Bliznem Jasińskiego </t>
  </si>
  <si>
    <t>Budowa drogi gminnej we wsi Klaudyn, ul. Krzyżanowskiego</t>
  </si>
  <si>
    <t>Budowa drogi gminnej we wsi Klaudyn, ul. Ciećwierza</t>
  </si>
  <si>
    <t>Budowa ciągu ulic Trakt Królewski - Górki - Koczarska wraz z chodnikami</t>
  </si>
  <si>
    <t>Budowa drogi gminnej, ul. Osiedlowa wraz z kanalizacją deszczową we wsi Zielonki</t>
  </si>
  <si>
    <t>Modernizacja ul. Dolnej we wsi Babice Nowe</t>
  </si>
  <si>
    <t xml:space="preserve">Budowa drogi gminnej we wsi Blizne Jasińskiego, ul. Kościuszki (na odcinku od ul. Chopina do ul. Prusa) </t>
  </si>
  <si>
    <t>Budowa nawierzchni asfaltowej ul. Różanej i Wiosennej we wsi Koczargi Nowe wraz z odwodnieniem i strefami zawracania</t>
  </si>
  <si>
    <t>Modernizacja nawierzchni ul. Jakubowicza we wsi Lipków wraz z budową chodnika</t>
  </si>
  <si>
    <t>Budowa chodników we wsiach: Wojcieszyn, Wierzbin, Borzęcin Duży (ul. Wspólna, Królewicza Jakuba)</t>
  </si>
  <si>
    <t>Budowa nawierzchni asfaltowej drogi gminnej we wsi Koczargi Stare (ul. Sasanki) - w 2013 r. pozyskanie gruntów</t>
  </si>
  <si>
    <t>Budowa drogi gminnej we wsi Babice Nowe, ul. Wieruchowska, Ożarowska - w 2013 r. wykonanie projektu</t>
  </si>
  <si>
    <t>Budowa drogi gminnej we wsi Wierzbin, ul. Królowej Marysieńki - w 2013 r. wykonanie projektu i wykup gruntów</t>
  </si>
  <si>
    <t xml:space="preserve">Budowa chodnika w Janowie przy ul. Andersa </t>
  </si>
  <si>
    <t>Budowa dróg gminnych we wsi Zielonki (pomiędzy ulicami: Osiedlową, Warszawskią, Białej Góry) - w 2013 r. wykonanie projektu</t>
  </si>
  <si>
    <t>Budowa nawierzchni asfaltowej drogi gminnej we wsi Borzęcin Duży (ul. Chrobrego)  - w 2013 r. wykonanie projektu</t>
  </si>
  <si>
    <t xml:space="preserve">Budowa nawierzchni asfaltowej na drogach gminnych wraz z chodnikami we wsi Blizne Łaszczyńskiego - w 2013 r. pozyskanie gruntów </t>
  </si>
  <si>
    <t>Wybudowanie chodnika we wsi Mariew  wzdłuż południowej strony jezdni ul. Kwiatowej</t>
  </si>
  <si>
    <t>Budowa Publicznego Gimnazjum we wsi Zielonki z 7-ma ciągami klas 1-3 wraz z halą widowiskowo-sportową</t>
  </si>
  <si>
    <t>Modernizacja budynku przedszkola w Starych Babicach</t>
  </si>
  <si>
    <t>DROG</t>
  </si>
  <si>
    <t xml:space="preserve">środki z funduszy UE     </t>
  </si>
  <si>
    <t>PROGRAM INWESTYCYJNY: 
DROGI, CHODNIKI I OŚWIETLENIE ULICZNE</t>
  </si>
  <si>
    <t>PROGRAM INWESTYCYJNY:
 OŚWIATA I WYCHOWANIE ORAZ SPORT SZKOLNY</t>
  </si>
  <si>
    <t>PROGRAM INWESTYCYJNY:
 UPOWSZECHNIANIE KULTURY</t>
  </si>
  <si>
    <t>Budowa zespołu sportowo-rekreacyjnego wraz z wyposażeniem we wsi Wojcieszyn</t>
  </si>
  <si>
    <t>Urządzenie punktu wypożyczeń książek we wsi Borzęcin Duży</t>
  </si>
  <si>
    <t xml:space="preserve">Modernizacja zbiornika wodnego pod roboczą nazwą „Leśny” z przeznaczeniem na rekreację we wsi Borzęcin Duży </t>
  </si>
  <si>
    <t>Modernizacja zbiornika wodnego pod roboczą nazwą „Zielonki” z przeznaczeniem na rekreację we wsi Zielonki</t>
  </si>
  <si>
    <t>PROGRAM INWESTYCYJNY:
BEZPIECZEŃSTWO PUBLICZNE</t>
  </si>
  <si>
    <t>PROGRAM INWESTYCYJNY:
MIESZKALNICTWO KOMUNALNE</t>
  </si>
  <si>
    <t>Zakup sprzętu komputerowego i oprogramowania dla potrzeb Urzędu Gminy w Starych Babicach</t>
  </si>
  <si>
    <t>Budowa lokalnej infrastruktury społeczeństwa informacyjnego</t>
  </si>
  <si>
    <t>Rozbudowa budynku oraz wyposażenie Urzędu Gminy w Starych Babicach</t>
  </si>
  <si>
    <t>oświata</t>
  </si>
  <si>
    <t>kultura</t>
  </si>
  <si>
    <t>sport</t>
  </si>
  <si>
    <t>bezp</t>
  </si>
  <si>
    <t>komunal</t>
  </si>
  <si>
    <t>obsługa</t>
  </si>
  <si>
    <t>Rozbudowa przedszkola w Zespole Szkolno - Przedszkolnym w Borzęcinie Dużym</t>
  </si>
  <si>
    <t>Budowa zespołu sportowo-rekreacyjnego wraz z wyposażeniem we wsi Blizne Jasińskiego wraz z modernizacją zbiornika wodnego pod roboczą nazwą "Złota Woda"</t>
  </si>
  <si>
    <t>Budowa mieszkań socjalnych w porozumieniu z Gminą Leszno</t>
  </si>
  <si>
    <t>Modernizacja terenu Zespołu Szkolno - Przeszkolnego w Borzęcinie Dużym w tym budowa parkingów i chodników</t>
  </si>
  <si>
    <t>Urządzenie skweru u zbiegu ulic Warszawskiej i Sapcerowej wraz z modernizacją zbiornika wodnego pod roboczą nazwą „Pożarowy” z przeznaczeniem na rekreację we wsi Borzęcin Duży</t>
  </si>
  <si>
    <t>Poprawa stanu gotowości przeciwpożarowej  Ochotniczej Straży Pożarnej w Borzęcinie Dużym i w Starych Babicach</t>
  </si>
  <si>
    <t>Ustawienie masztów do fotoradarów na terenie gminy</t>
  </si>
  <si>
    <t>PROGRAM INWESTYCYJNY:
SPORT I REKREACJA ORAZ ŚCIEŻKI ROWEROWE</t>
  </si>
  <si>
    <t xml:space="preserve">Budowa ul Reymonta wraz ze ścieżką rowerową we wsi Latchorzew </t>
  </si>
  <si>
    <t xml:space="preserve">Modernizacja drogi gminnej wraz z przykryciem rowu we wsi Stare Babice, ul. Kutrzeby </t>
  </si>
  <si>
    <t xml:space="preserve">Budowa drogi gminnej we wsi Blizne Jasińskiego, ul. Kościuszki (na odcinku od ul. Łaszczyńskiego do ul. Chopina) </t>
  </si>
  <si>
    <t xml:space="preserve">Budowa drogi gminnej we wsi Zielonki, ul. Białej Góry </t>
  </si>
  <si>
    <t>Budowa zespołu sportowo-rekreacyjnego wraz z wyposażeniem przy Gimnazjum Publicznym we wsi Koczargi Stare</t>
  </si>
  <si>
    <t>PROGRAM INWESTYCYJNY: 
SIEĆ WODOCIĄGOWA I KANALIZACYJNA</t>
  </si>
  <si>
    <t>WOD</t>
  </si>
  <si>
    <t>Rozbudowa sieci kanalizacyjnej z udziałem mieszkańców - teren całej gminy</t>
  </si>
  <si>
    <t>Rozbudowa sieci wodociągowej z udziałem mieszkańców - teren całej gminy</t>
  </si>
  <si>
    <t>Przewidywane wykonanie do 31 grudnia 2007 r.</t>
  </si>
  <si>
    <t xml:space="preserve">POZOSTAŁE ZADANIA: </t>
  </si>
  <si>
    <t xml:space="preserve">Budowa odwodnienia i wykonanie nakładki asfaltowej w ul Granicznej i ul. Łaszczyńskiego w Bliznem Łaszczyńskiego </t>
  </si>
  <si>
    <t xml:space="preserve">Budowa ul. Szymanowskiego we wsi Klaudyn </t>
  </si>
  <si>
    <t>Budowa ogólnodostępnej strefy rekreacji dziecięcej - kompleksu boisk i obiektów sportowych wraz z wyposażeniem w Borzęcinie Dużym.Zadanie planowane do współfinansowania ze środków Mechanizmu Finansowego EOG/Norweskiego Mechanizmu Finansowego w ramach projektu „Promocja zdrowia w Gminie Stare Babice poprzez stworzenie strefy rekreacji dziecięcej"</t>
  </si>
  <si>
    <t xml:space="preserve">Modernizacja budynku i wymiana okien w Gimnazjum w Koczargach Starych </t>
  </si>
  <si>
    <t>Budowa parkingu przy Gimnazjum w Koczargach Starych</t>
  </si>
  <si>
    <t>Budowa ciągu pieszo-jezdnego wzdłuż ogrodzenia Zespołu Szkolno - Przedszkolnego w Borzęcinie Dużym (od strony ul. Sobieskiego) - w 2007 wykonanie projektu</t>
  </si>
  <si>
    <t xml:space="preserve">Budowa ul. Polnej w Starych Babicach wraz z odwodnieniem </t>
  </si>
  <si>
    <t>po 2013</t>
  </si>
  <si>
    <t>Lp. przed zmianami</t>
  </si>
  <si>
    <t>Budowa ulic osiedlowych w Kwirynowie</t>
  </si>
  <si>
    <t>Modernizacja dachu Szkoły Podstawowej i Przedszkola we wsi Stare Babice</t>
  </si>
  <si>
    <t xml:space="preserve">Budowa ośrodka sportowo-edukacyjnego we wsi Zielonki Parcela </t>
  </si>
  <si>
    <t>Zagospodarowanie Placu Kwirynowskiego</t>
  </si>
  <si>
    <t xml:space="preserve">Zagospodarowanie terenów dla potrzeb wypoczynku, rekreacji i spotkań mieszkańców we wsi Latchorzew </t>
  </si>
  <si>
    <t xml:space="preserve">Urządzenie skweru na osiedlu w Zielonkach przy ul. Północnej </t>
  </si>
  <si>
    <t xml:space="preserve">Budowa budynku komunalnego z częścią przeznaczoną na Ośrodek Zdrowia w Starych Babicach </t>
  </si>
  <si>
    <t xml:space="preserve">Zagospodarowanie działki gminnej w Babicach Nowych przy skrzyżowaniu ulic Warszawskiej, Ogrodniczej </t>
  </si>
  <si>
    <t xml:space="preserve">Budowa systemu ścieżek rowerowych </t>
  </si>
  <si>
    <t>Łącznie wydatki  w latach
2007-2013</t>
  </si>
  <si>
    <t>Budowa parkingów z udziałem parafii w Borzęcinie Dużym i Bliznem Jasińskiego</t>
  </si>
  <si>
    <t xml:space="preserve">Rozbudowa i modernizacja oświetlenia ulicznego na terenie gminy </t>
  </si>
  <si>
    <t>Budowa przedszkola w Bliznem Jasińskiego</t>
  </si>
  <si>
    <t>Budowa wielofunkcyjnego obiektu w Bliznem Jasińskiego przy ośrodku dla niepełnosprawnych wraz z infrastrukturą towarzyszącą</t>
  </si>
  <si>
    <t>PROGRAM INWESTYCYJNY:
POPRAWA OBSŁUGI MIESZKAŃCÓW</t>
  </si>
  <si>
    <t xml:space="preserve">Budowa Centrum Kultury i Rekreacji wraz z biblioteką i basenem w Starych Babicach </t>
  </si>
  <si>
    <t>Budowa nawierzchni asfaltowej dróg gminnych we wsi Koczargi Stare (w latach 2007-2008 wykonanie koncepcji)</t>
  </si>
  <si>
    <t>Uporządkowanie gospodarki wodno - ściekowej w Gminie Stare Babice</t>
  </si>
  <si>
    <t>Rezerwa inwestycyjna</t>
  </si>
  <si>
    <t>Zmywarka, bemar</t>
  </si>
  <si>
    <t>Zakup pojazdu w ramach obszaru "B" programu "uczeń na wsi" - pomoc w zdobyciu wykształcenia przez osoby niepełnosprawne zamieszkujące gminy wiejsckie oraz gminy miejsko - wiejskie</t>
  </si>
  <si>
    <r>
      <t xml:space="preserve">Modernizacja drogi wojewódzkiej 898 (ul Sikorskiego) wraz z chodnikami, ścieżką rowerową i rondem - udział gminy polega na wykonaniu projektu </t>
    </r>
    <r>
      <rPr>
        <sz val="8"/>
        <rFont val="Arial CE"/>
        <family val="2"/>
      </rPr>
      <t>(w latach 2007- 2008 projekt przebudowy ul. Sikorskiego wraz z przebudową skrzyżowania ul. Ekologicznej)</t>
    </r>
  </si>
  <si>
    <t>Wydatki na zakup i objęcie akcji, wniesienie wkładów do spółek prawa handlowego oraz na uzupełnienie funduszy statutowych banków państwowych i innych instytucji finansowych Spółki EKO - Partners Sp. z o. o.</t>
  </si>
  <si>
    <t>Wydatki na zakup i objęcie akcji, wniesienie wkładów do spółek prawa handlowego oraz na uzupełnienie funduszy statutowych banków państwowych i innych instytucji finansowych Spółki EKO BABICE Sp. z o.o.</t>
  </si>
  <si>
    <t>Odszkodowania za drogi, wykup gruntów pod inwestycje gminne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</si>
</sst>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_z_ł"/>
    <numFmt numFmtId="166" formatCode="#,##0_ ;\-#,##0\ "/>
    <numFmt numFmtId="167" formatCode="#,##0.0"/>
    <numFmt numFmtId="168" formatCode="0.0%"/>
    <numFmt numFmtId="169" formatCode="#,##0.00_ ;[Red]\-#,##0.00\ "/>
    <numFmt numFmtId="170" formatCode="#,##0_ ;[Red]\-#,##0\ 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i/>
      <sz val="10"/>
      <color indexed="12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sz val="9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Alignment="1">
      <alignment/>
    </xf>
    <xf numFmtId="0" fontId="5" fillId="2" borderId="0" xfId="0" applyFont="1" applyFill="1" applyBorder="1" applyAlignment="1" applyProtection="1">
      <alignment horizontal="center" vertical="top"/>
      <protection hidden="1"/>
    </xf>
    <xf numFmtId="0" fontId="0" fillId="3" borderId="0" xfId="0" applyFont="1" applyFill="1" applyAlignment="1">
      <alignment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166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top"/>
      <protection hidden="1"/>
    </xf>
    <xf numFmtId="41" fontId="2" fillId="0" borderId="1" xfId="0" applyNumberFormat="1" applyFont="1" applyBorder="1" applyAlignment="1" applyProtection="1">
      <alignment horizontal="right" vertical="center" wrapText="1"/>
      <protection hidden="1"/>
    </xf>
    <xf numFmtId="41" fontId="8" fillId="0" borderId="1" xfId="0" applyNumberFormat="1" applyFont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hidden="1"/>
    </xf>
    <xf numFmtId="166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0" fillId="3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41" fontId="2" fillId="4" borderId="1" xfId="0" applyNumberFormat="1" applyFont="1" applyFill="1" applyBorder="1" applyAlignment="1" applyProtection="1">
      <alignment vertical="center" wrapText="1"/>
      <protection hidden="1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NumberFormat="1" applyFont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Alignment="1">
      <alignment/>
    </xf>
    <xf numFmtId="3" fontId="2" fillId="4" borderId="1" xfId="0" applyNumberFormat="1" applyFont="1" applyFill="1" applyBorder="1" applyAlignment="1">
      <alignment vertical="center"/>
    </xf>
    <xf numFmtId="41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3" borderId="8" xfId="0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" xfId="0" applyNumberFormat="1" applyFont="1" applyFill="1" applyBorder="1" applyAlignment="1" applyProtection="1">
      <alignment vertical="center" wrapText="1"/>
      <protection hidden="1"/>
    </xf>
    <xf numFmtId="3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9" fillId="0" borderId="9" xfId="0" applyNumberFormat="1" applyFont="1" applyFill="1" applyBorder="1" applyAlignment="1">
      <alignment horizontal="left" vertical="center" wrapText="1" indent="1"/>
    </xf>
    <xf numFmtId="3" fontId="9" fillId="0" borderId="10" xfId="0" applyNumberFormat="1" applyFont="1" applyFill="1" applyBorder="1" applyAlignment="1">
      <alignment horizontal="left" vertical="center" wrapText="1" indent="1"/>
    </xf>
    <xf numFmtId="3" fontId="9" fillId="0" borderId="2" xfId="0" applyNumberFormat="1" applyFont="1" applyFill="1" applyBorder="1" applyAlignment="1">
      <alignment horizontal="left" vertical="center" wrapText="1" indent="1"/>
    </xf>
    <xf numFmtId="0" fontId="8" fillId="0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" xfId="0" applyNumberFormat="1" applyFont="1" applyBorder="1" applyAlignment="1">
      <alignment horizontal="left" vertical="center" wrapText="1" indent="1"/>
    </xf>
    <xf numFmtId="3" fontId="9" fillId="0" borderId="10" xfId="0" applyNumberFormat="1" applyFont="1" applyBorder="1" applyAlignment="1">
      <alignment horizontal="left" vertical="center" wrapText="1" indent="1"/>
    </xf>
    <xf numFmtId="3" fontId="9" fillId="0" borderId="11" xfId="0" applyNumberFormat="1" applyFont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" xfId="0" applyNumberFormat="1" applyFont="1" applyFill="1" applyBorder="1" applyAlignment="1">
      <alignment horizontal="left" vertical="center" wrapText="1" indent="1"/>
    </xf>
    <xf numFmtId="3" fontId="9" fillId="0" borderId="11" xfId="0" applyNumberFormat="1" applyFont="1" applyFill="1" applyBorder="1" applyAlignment="1">
      <alignment horizontal="left" vertical="center" wrapText="1" indent="1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3" fontId="9" fillId="0" borderId="2" xfId="0" applyNumberFormat="1" applyFont="1" applyBorder="1" applyAlignment="1">
      <alignment horizontal="left" vertical="center" wrapText="1" indent="1"/>
    </xf>
    <xf numFmtId="0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3" fontId="9" fillId="0" borderId="9" xfId="0" applyNumberFormat="1" applyFont="1" applyBorder="1" applyAlignment="1">
      <alignment horizontal="left" vertical="center" wrapText="1" indent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right"/>
      <protection hidden="1"/>
    </xf>
    <xf numFmtId="0" fontId="1" fillId="2" borderId="16" xfId="0" applyFont="1" applyFill="1" applyBorder="1" applyAlignment="1" applyProtection="1">
      <alignment horizontal="right"/>
      <protection hidden="1"/>
    </xf>
    <xf numFmtId="0" fontId="1" fillId="2" borderId="17" xfId="0" applyFont="1" applyFill="1" applyBorder="1" applyAlignment="1" applyProtection="1">
      <alignment horizontal="right"/>
      <protection hidden="1"/>
    </xf>
    <xf numFmtId="0" fontId="1" fillId="2" borderId="5" xfId="0" applyFont="1" applyFill="1" applyBorder="1" applyAlignment="1" applyProtection="1">
      <alignment horizontal="center" vertical="center" textRotation="90" wrapText="1"/>
      <protection hidden="1"/>
    </xf>
    <xf numFmtId="0" fontId="1" fillId="2" borderId="2" xfId="0" applyFont="1" applyFill="1" applyBorder="1" applyAlignment="1" applyProtection="1">
      <alignment horizontal="center" vertical="center" textRotation="90" wrapText="1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6"/>
  <sheetViews>
    <sheetView tabSelected="1" view="pageBreakPreview" zoomScaleSheetLayoutView="100" workbookViewId="0" topLeftCell="A1">
      <pane xSplit="7" ySplit="10" topLeftCell="H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338" sqref="A338:IV552"/>
    </sheetView>
  </sheetViews>
  <sheetFormatPr defaultColWidth="9.00390625" defaultRowHeight="12.75"/>
  <cols>
    <col min="2" max="2" width="4.375" style="22" hidden="1" customWidth="1"/>
    <col min="3" max="3" width="4.375" style="22" customWidth="1"/>
    <col min="4" max="4" width="4.375" style="22" hidden="1" customWidth="1"/>
    <col min="5" max="5" width="30.75390625" style="21" customWidth="1"/>
    <col min="6" max="6" width="6.00390625" style="0" customWidth="1"/>
    <col min="7" max="7" width="5.625" style="0" customWidth="1"/>
    <col min="8" max="8" width="13.00390625" style="0" customWidth="1"/>
    <col min="9" max="10" width="12.875" style="0" customWidth="1"/>
    <col min="11" max="11" width="11.375" style="0" customWidth="1"/>
    <col min="12" max="14" width="10.875" style="0" customWidth="1"/>
    <col min="15" max="15" width="11.375" style="0" customWidth="1"/>
    <col min="16" max="16" width="11.00390625" style="0" customWidth="1"/>
    <col min="17" max="17" width="11.25390625" style="0" customWidth="1"/>
    <col min="18" max="18" width="11.375" style="0" customWidth="1"/>
    <col min="19" max="19" width="12.25390625" style="0" customWidth="1"/>
  </cols>
  <sheetData>
    <row r="1" spans="2:19" ht="35.25" customHeight="1">
      <c r="B1" s="87" t="s">
        <v>12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2:19" ht="15.75" customHeight="1">
      <c r="B2" s="13"/>
      <c r="C2" s="13"/>
      <c r="D2" s="13"/>
      <c r="E2" s="1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4" t="s">
        <v>9</v>
      </c>
    </row>
    <row r="3" spans="2:19" ht="24" customHeight="1" hidden="1">
      <c r="B3" s="89" t="s">
        <v>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2:19" ht="20.25" customHeight="1">
      <c r="B4" s="92" t="s">
        <v>92</v>
      </c>
      <c r="C4" s="29"/>
      <c r="D4" s="29"/>
      <c r="E4" s="81" t="s">
        <v>5</v>
      </c>
      <c r="F4" s="84" t="s">
        <v>0</v>
      </c>
      <c r="G4" s="86"/>
      <c r="H4" s="81" t="s">
        <v>4</v>
      </c>
      <c r="I4" s="81" t="s">
        <v>14</v>
      </c>
      <c r="J4" s="81" t="s">
        <v>13</v>
      </c>
      <c r="K4" s="84" t="s">
        <v>7</v>
      </c>
      <c r="L4" s="85"/>
      <c r="M4" s="85"/>
      <c r="N4" s="85"/>
      <c r="O4" s="85"/>
      <c r="P4" s="85"/>
      <c r="Q4" s="86"/>
      <c r="R4" s="81" t="s">
        <v>102</v>
      </c>
      <c r="S4" s="81" t="s">
        <v>15</v>
      </c>
    </row>
    <row r="5" spans="2:19" ht="70.5" customHeight="1">
      <c r="B5" s="93"/>
      <c r="C5" s="8" t="s">
        <v>3</v>
      </c>
      <c r="D5" s="8" t="s">
        <v>3</v>
      </c>
      <c r="E5" s="82"/>
      <c r="F5" s="4" t="s">
        <v>1</v>
      </c>
      <c r="G5" s="4" t="s">
        <v>2</v>
      </c>
      <c r="H5" s="83"/>
      <c r="I5" s="82"/>
      <c r="J5" s="82"/>
      <c r="K5" s="8" t="s">
        <v>82</v>
      </c>
      <c r="L5" s="8">
        <v>2008</v>
      </c>
      <c r="M5" s="8">
        <v>2009</v>
      </c>
      <c r="N5" s="8">
        <v>2010</v>
      </c>
      <c r="O5" s="8">
        <v>2011</v>
      </c>
      <c r="P5" s="8">
        <v>2012</v>
      </c>
      <c r="Q5" s="8">
        <v>2013</v>
      </c>
      <c r="R5" s="82"/>
      <c r="S5" s="82"/>
    </row>
    <row r="6" spans="2:19" ht="12.75">
      <c r="B6" s="1">
        <v>1</v>
      </c>
      <c r="C6" s="1">
        <v>1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  <c r="P6" s="1">
        <v>13</v>
      </c>
      <c r="Q6" s="1">
        <v>14</v>
      </c>
      <c r="R6" s="1">
        <v>15</v>
      </c>
      <c r="S6" s="1">
        <v>16</v>
      </c>
    </row>
    <row r="7" spans="2:19" s="5" customFormat="1" ht="16.5" customHeight="1">
      <c r="B7" s="30" t="s">
        <v>16</v>
      </c>
      <c r="C7" s="65" t="s">
        <v>16</v>
      </c>
      <c r="D7" s="66"/>
      <c r="E7" s="66"/>
      <c r="F7" s="66"/>
      <c r="G7" s="67"/>
      <c r="H7" s="2" t="s">
        <v>8</v>
      </c>
      <c r="I7" s="15">
        <f aca="true" t="shared" si="0" ref="I7:Q7">SUM(I8:I10)</f>
        <v>221777244.92000002</v>
      </c>
      <c r="J7" s="15">
        <f>SUM(J8:J10)</f>
        <v>304646</v>
      </c>
      <c r="K7" s="15">
        <f t="shared" si="0"/>
        <v>15997064.920000002</v>
      </c>
      <c r="L7" s="15">
        <f t="shared" si="0"/>
        <v>46532171</v>
      </c>
      <c r="M7" s="15">
        <f t="shared" si="0"/>
        <v>29461016</v>
      </c>
      <c r="N7" s="15">
        <f t="shared" si="0"/>
        <v>30907347</v>
      </c>
      <c r="O7" s="15">
        <f t="shared" si="0"/>
        <v>28514000</v>
      </c>
      <c r="P7" s="15">
        <f t="shared" si="0"/>
        <v>27293000</v>
      </c>
      <c r="Q7" s="15">
        <f t="shared" si="0"/>
        <v>23613000</v>
      </c>
      <c r="R7" s="15">
        <f>SUM(R8:R10)</f>
        <v>202317598.92000002</v>
      </c>
      <c r="S7" s="15">
        <f>SUM(S8:S10)</f>
        <v>19155000</v>
      </c>
    </row>
    <row r="8" spans="2:19" s="5" customFormat="1" ht="16.5" customHeight="1">
      <c r="B8" s="31"/>
      <c r="C8" s="68"/>
      <c r="D8" s="69"/>
      <c r="E8" s="69"/>
      <c r="F8" s="69"/>
      <c r="G8" s="70"/>
      <c r="H8" s="2" t="s">
        <v>10</v>
      </c>
      <c r="I8" s="15">
        <f aca="true" t="shared" si="1" ref="I8:S8">SUMIF($H$13:$H$9389,$H$8,I13:I9389)</f>
        <v>169600137.6035</v>
      </c>
      <c r="J8" s="15">
        <f t="shared" si="1"/>
        <v>304646</v>
      </c>
      <c r="K8" s="15">
        <f t="shared" si="1"/>
        <v>12230957.603500001</v>
      </c>
      <c r="L8" s="15">
        <f t="shared" si="1"/>
        <v>46532171</v>
      </c>
      <c r="M8" s="15">
        <f t="shared" si="1"/>
        <v>25156016</v>
      </c>
      <c r="N8" s="15">
        <f t="shared" si="1"/>
        <v>25509147</v>
      </c>
      <c r="O8" s="15">
        <f t="shared" si="1"/>
        <v>22337000</v>
      </c>
      <c r="P8" s="15">
        <f t="shared" si="1"/>
        <v>15573800</v>
      </c>
      <c r="Q8" s="15">
        <f t="shared" si="1"/>
        <v>11215200</v>
      </c>
      <c r="R8" s="15">
        <f t="shared" si="1"/>
        <v>158554291.6035</v>
      </c>
      <c r="S8" s="15">
        <f t="shared" si="1"/>
        <v>10741200</v>
      </c>
    </row>
    <row r="9" spans="2:19" s="5" customFormat="1" ht="16.5" customHeight="1">
      <c r="B9" s="31"/>
      <c r="C9" s="68"/>
      <c r="D9" s="69"/>
      <c r="E9" s="69"/>
      <c r="F9" s="69"/>
      <c r="G9" s="70"/>
      <c r="H9" s="3" t="s">
        <v>46</v>
      </c>
      <c r="I9" s="16">
        <f aca="true" t="shared" si="2" ref="I9:S9">SUMIF($H$13:$H$9389,$H$9,I13:I9389)</f>
        <v>52177107.3165</v>
      </c>
      <c r="J9" s="16">
        <f t="shared" si="2"/>
        <v>0</v>
      </c>
      <c r="K9" s="16">
        <f t="shared" si="2"/>
        <v>3766107.3165</v>
      </c>
      <c r="L9" s="16">
        <f t="shared" si="2"/>
        <v>0</v>
      </c>
      <c r="M9" s="16">
        <f t="shared" si="2"/>
        <v>4305000</v>
      </c>
      <c r="N9" s="16">
        <f t="shared" si="2"/>
        <v>5398200</v>
      </c>
      <c r="O9" s="16">
        <f t="shared" si="2"/>
        <v>6177000</v>
      </c>
      <c r="P9" s="16">
        <f t="shared" si="2"/>
        <v>11719200</v>
      </c>
      <c r="Q9" s="16">
        <f t="shared" si="2"/>
        <v>12397800</v>
      </c>
      <c r="R9" s="16">
        <f t="shared" si="2"/>
        <v>43763307.3165</v>
      </c>
      <c r="S9" s="16">
        <f t="shared" si="2"/>
        <v>8413800</v>
      </c>
    </row>
    <row r="10" spans="2:19" s="5" customFormat="1" ht="16.5" customHeight="1">
      <c r="B10" s="32"/>
      <c r="C10" s="71"/>
      <c r="D10" s="72"/>
      <c r="E10" s="72"/>
      <c r="F10" s="72"/>
      <c r="G10" s="73"/>
      <c r="H10" s="3" t="s">
        <v>11</v>
      </c>
      <c r="I10" s="16">
        <f aca="true" t="shared" si="3" ref="I10:S10">SUMIF($H$13:$H$9389,$H$10,I13:I9389)</f>
        <v>0</v>
      </c>
      <c r="J10" s="16">
        <f t="shared" si="3"/>
        <v>0</v>
      </c>
      <c r="K10" s="16">
        <f t="shared" si="3"/>
        <v>0</v>
      </c>
      <c r="L10" s="16">
        <f t="shared" si="3"/>
        <v>0</v>
      </c>
      <c r="M10" s="16">
        <f t="shared" si="3"/>
        <v>0</v>
      </c>
      <c r="N10" s="16">
        <f t="shared" si="3"/>
        <v>0</v>
      </c>
      <c r="O10" s="16">
        <f t="shared" si="3"/>
        <v>0</v>
      </c>
      <c r="P10" s="16">
        <f t="shared" si="3"/>
        <v>0</v>
      </c>
      <c r="Q10" s="16">
        <f t="shared" si="3"/>
        <v>0</v>
      </c>
      <c r="R10" s="16">
        <f t="shared" si="3"/>
        <v>0</v>
      </c>
      <c r="S10" s="16">
        <f t="shared" si="3"/>
        <v>0</v>
      </c>
    </row>
    <row r="11" spans="2:19" s="5" customFormat="1" ht="12.75" customHeight="1">
      <c r="B11" s="25"/>
      <c r="C11" s="39"/>
      <c r="D11" s="39"/>
      <c r="E11" s="2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6"/>
    </row>
    <row r="12" spans="2:19" s="9" customFormat="1" ht="27" customHeight="1">
      <c r="B12" s="33"/>
      <c r="C12" s="62" t="s">
        <v>78</v>
      </c>
      <c r="D12" s="63"/>
      <c r="E12" s="63"/>
      <c r="F12" s="63"/>
      <c r="G12" s="64"/>
      <c r="H12" s="27"/>
      <c r="I12" s="38">
        <f>SUBTOTAL(9,I13:I24)</f>
        <v>950000</v>
      </c>
      <c r="J12" s="38">
        <f aca="true" t="shared" si="4" ref="J12:S12">SUBTOTAL(9,J13:J24)</f>
        <v>0</v>
      </c>
      <c r="K12" s="38">
        <f t="shared" si="4"/>
        <v>650000</v>
      </c>
      <c r="L12" s="38">
        <f t="shared" si="4"/>
        <v>300000</v>
      </c>
      <c r="M12" s="38">
        <f t="shared" si="4"/>
        <v>0</v>
      </c>
      <c r="N12" s="38">
        <f t="shared" si="4"/>
        <v>0</v>
      </c>
      <c r="O12" s="38">
        <f t="shared" si="4"/>
        <v>0</v>
      </c>
      <c r="P12" s="38">
        <f t="shared" si="4"/>
        <v>0</v>
      </c>
      <c r="Q12" s="38">
        <f t="shared" si="4"/>
        <v>0</v>
      </c>
      <c r="R12" s="38">
        <f t="shared" si="4"/>
        <v>950000</v>
      </c>
      <c r="S12" s="38">
        <f t="shared" si="4"/>
        <v>0</v>
      </c>
    </row>
    <row r="13" spans="1:19" s="9" customFormat="1" ht="16.5" customHeight="1">
      <c r="A13" s="9" t="s">
        <v>79</v>
      </c>
      <c r="B13" s="50">
        <v>1</v>
      </c>
      <c r="C13" s="50">
        <v>1</v>
      </c>
      <c r="D13" s="50">
        <v>1</v>
      </c>
      <c r="E13" s="53" t="s">
        <v>81</v>
      </c>
      <c r="F13" s="47">
        <v>2007</v>
      </c>
      <c r="G13" s="47">
        <v>2008</v>
      </c>
      <c r="H13" s="23" t="s">
        <v>8</v>
      </c>
      <c r="I13" s="10">
        <f aca="true" t="shared" si="5" ref="I13:N13">SUBTOTAL(9,I14:I16)</f>
        <v>500000</v>
      </c>
      <c r="J13" s="10">
        <f t="shared" si="5"/>
        <v>0</v>
      </c>
      <c r="K13" s="10">
        <f t="shared" si="5"/>
        <v>350000</v>
      </c>
      <c r="L13" s="40">
        <f t="shared" si="5"/>
        <v>150000</v>
      </c>
      <c r="M13" s="10">
        <f t="shared" si="5"/>
        <v>0</v>
      </c>
      <c r="N13" s="10">
        <f t="shared" si="5"/>
        <v>0</v>
      </c>
      <c r="O13" s="10">
        <f>SUBTOTAL(9,O14:O16)</f>
        <v>0</v>
      </c>
      <c r="P13" s="10">
        <f>SUBTOTAL(9,P14:P16)</f>
        <v>0</v>
      </c>
      <c r="Q13" s="10">
        <f>SUBTOTAL(9,Q14:Q16)</f>
        <v>0</v>
      </c>
      <c r="R13" s="10">
        <f>SUBTOTAL(9,R14:R16)</f>
        <v>500000</v>
      </c>
      <c r="S13" s="10">
        <f>SUBTOTAL(9,S14:S16)</f>
        <v>0</v>
      </c>
    </row>
    <row r="14" spans="1:19" s="9" customFormat="1" ht="16.5" customHeight="1">
      <c r="A14" s="9" t="s">
        <v>79</v>
      </c>
      <c r="B14" s="51"/>
      <c r="C14" s="51"/>
      <c r="D14" s="51"/>
      <c r="E14" s="54"/>
      <c r="F14" s="48"/>
      <c r="G14" s="48"/>
      <c r="H14" s="23" t="s">
        <v>10</v>
      </c>
      <c r="I14" s="11">
        <v>500000</v>
      </c>
      <c r="J14" s="11">
        <v>0</v>
      </c>
      <c r="K14" s="11">
        <v>350000</v>
      </c>
      <c r="L14" s="41">
        <v>150000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2">
        <f>SUM(K14:Q14)</f>
        <v>500000</v>
      </c>
      <c r="S14" s="12">
        <f>I14-J14-R14</f>
        <v>0</v>
      </c>
    </row>
    <row r="15" spans="1:19" s="9" customFormat="1" ht="16.5" customHeight="1">
      <c r="A15" s="9" t="s">
        <v>79</v>
      </c>
      <c r="B15" s="51"/>
      <c r="C15" s="51"/>
      <c r="D15" s="51"/>
      <c r="E15" s="54"/>
      <c r="F15" s="48"/>
      <c r="G15" s="48"/>
      <c r="H15" s="3" t="s">
        <v>46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f>SUM(K15:Q15)</f>
        <v>0</v>
      </c>
      <c r="S15" s="11">
        <f>I15-J15-R15</f>
        <v>0</v>
      </c>
    </row>
    <row r="16" spans="1:19" s="9" customFormat="1" ht="16.5" customHeight="1">
      <c r="A16" s="9" t="s">
        <v>79</v>
      </c>
      <c r="B16" s="52"/>
      <c r="C16" s="52"/>
      <c r="D16" s="52"/>
      <c r="E16" s="61"/>
      <c r="F16" s="49"/>
      <c r="G16" s="49"/>
      <c r="H16" s="3" t="s">
        <v>11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f>SUM(K16:Q16)</f>
        <v>0</v>
      </c>
      <c r="S16" s="12">
        <f>I16-J16-R16</f>
        <v>0</v>
      </c>
    </row>
    <row r="17" spans="1:19" s="9" customFormat="1" ht="16.5" customHeight="1">
      <c r="A17" s="9" t="s">
        <v>79</v>
      </c>
      <c r="B17" s="50">
        <v>2</v>
      </c>
      <c r="C17" s="50">
        <v>2</v>
      </c>
      <c r="D17" s="50">
        <v>2</v>
      </c>
      <c r="E17" s="53" t="s">
        <v>80</v>
      </c>
      <c r="F17" s="47">
        <v>2007</v>
      </c>
      <c r="G17" s="47">
        <v>2008</v>
      </c>
      <c r="H17" s="23" t="s">
        <v>8</v>
      </c>
      <c r="I17" s="10">
        <f aca="true" t="shared" si="6" ref="I17:N17">SUBTOTAL(9,I18:I20)</f>
        <v>400000</v>
      </c>
      <c r="J17" s="10">
        <f t="shared" si="6"/>
        <v>0</v>
      </c>
      <c r="K17" s="10">
        <f t="shared" si="6"/>
        <v>300000</v>
      </c>
      <c r="L17" s="40">
        <f t="shared" si="6"/>
        <v>100000</v>
      </c>
      <c r="M17" s="10">
        <f t="shared" si="6"/>
        <v>0</v>
      </c>
      <c r="N17" s="10">
        <f t="shared" si="6"/>
        <v>0</v>
      </c>
      <c r="O17" s="10">
        <f>SUBTOTAL(9,O18:O20)</f>
        <v>0</v>
      </c>
      <c r="P17" s="10">
        <f>SUBTOTAL(9,P18:P20)</f>
        <v>0</v>
      </c>
      <c r="Q17" s="10">
        <f>SUBTOTAL(9,Q18:Q20)</f>
        <v>0</v>
      </c>
      <c r="R17" s="10">
        <f>SUBTOTAL(9,R18:R20)</f>
        <v>400000</v>
      </c>
      <c r="S17" s="10">
        <f>SUBTOTAL(9,S18:S20)</f>
        <v>0</v>
      </c>
    </row>
    <row r="18" spans="1:19" s="9" customFormat="1" ht="16.5" customHeight="1">
      <c r="A18" s="9" t="s">
        <v>79</v>
      </c>
      <c r="B18" s="51"/>
      <c r="C18" s="51"/>
      <c r="D18" s="51"/>
      <c r="E18" s="54"/>
      <c r="F18" s="48"/>
      <c r="G18" s="48"/>
      <c r="H18" s="23" t="s">
        <v>10</v>
      </c>
      <c r="I18" s="11">
        <v>400000</v>
      </c>
      <c r="J18" s="11">
        <v>0</v>
      </c>
      <c r="K18" s="11">
        <v>300000</v>
      </c>
      <c r="L18" s="41">
        <v>100000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2">
        <f>SUM(K18:Q18)</f>
        <v>400000</v>
      </c>
      <c r="S18" s="12">
        <f>I18-J18-R18</f>
        <v>0</v>
      </c>
    </row>
    <row r="19" spans="1:19" s="9" customFormat="1" ht="16.5" customHeight="1">
      <c r="A19" s="9" t="s">
        <v>79</v>
      </c>
      <c r="B19" s="51"/>
      <c r="C19" s="51"/>
      <c r="D19" s="51"/>
      <c r="E19" s="54"/>
      <c r="F19" s="48"/>
      <c r="G19" s="48"/>
      <c r="H19" s="3" t="s">
        <v>46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f>SUM(K19:Q19)</f>
        <v>0</v>
      </c>
      <c r="S19" s="11">
        <f>I19-J19-R19</f>
        <v>0</v>
      </c>
    </row>
    <row r="20" spans="1:19" s="9" customFormat="1" ht="16.5" customHeight="1">
      <c r="A20" s="9" t="s">
        <v>79</v>
      </c>
      <c r="B20" s="52"/>
      <c r="C20" s="52"/>
      <c r="D20" s="52"/>
      <c r="E20" s="61"/>
      <c r="F20" s="49"/>
      <c r="G20" s="49"/>
      <c r="H20" s="3" t="s">
        <v>11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f>SUM(K20:Q20)</f>
        <v>0</v>
      </c>
      <c r="S20" s="12">
        <f>I20-J20-R20</f>
        <v>0</v>
      </c>
    </row>
    <row r="21" spans="1:19" s="9" customFormat="1" ht="16.5" customHeight="1">
      <c r="A21" s="9" t="s">
        <v>79</v>
      </c>
      <c r="B21" s="50">
        <v>2</v>
      </c>
      <c r="C21" s="50">
        <v>3</v>
      </c>
      <c r="D21" s="50">
        <v>2</v>
      </c>
      <c r="E21" s="53" t="s">
        <v>110</v>
      </c>
      <c r="F21" s="47">
        <v>2007</v>
      </c>
      <c r="G21" s="47">
        <v>2008</v>
      </c>
      <c r="H21" s="23" t="s">
        <v>8</v>
      </c>
      <c r="I21" s="10">
        <f aca="true" t="shared" si="7" ref="I21:N21">SUBTOTAL(9,I22:I24)</f>
        <v>50000</v>
      </c>
      <c r="J21" s="10">
        <f t="shared" si="7"/>
        <v>0</v>
      </c>
      <c r="K21" s="10">
        <f t="shared" si="7"/>
        <v>0</v>
      </c>
      <c r="L21" s="40">
        <f t="shared" si="7"/>
        <v>50000</v>
      </c>
      <c r="M21" s="10">
        <f t="shared" si="7"/>
        <v>0</v>
      </c>
      <c r="N21" s="10">
        <f t="shared" si="7"/>
        <v>0</v>
      </c>
      <c r="O21" s="10">
        <f>SUBTOTAL(9,O22:O24)</f>
        <v>0</v>
      </c>
      <c r="P21" s="10">
        <f>SUBTOTAL(9,P22:P24)</f>
        <v>0</v>
      </c>
      <c r="Q21" s="10">
        <f>SUBTOTAL(9,Q22:Q24)</f>
        <v>0</v>
      </c>
      <c r="R21" s="10">
        <f>SUBTOTAL(9,R22:R24)</f>
        <v>50000</v>
      </c>
      <c r="S21" s="10">
        <f>SUBTOTAL(9,S22:S24)</f>
        <v>0</v>
      </c>
    </row>
    <row r="22" spans="1:19" s="9" customFormat="1" ht="16.5" customHeight="1">
      <c r="A22" s="9" t="s">
        <v>79</v>
      </c>
      <c r="B22" s="51"/>
      <c r="C22" s="51"/>
      <c r="D22" s="51"/>
      <c r="E22" s="54"/>
      <c r="F22" s="48"/>
      <c r="G22" s="48"/>
      <c r="H22" s="23" t="s">
        <v>10</v>
      </c>
      <c r="I22" s="11">
        <v>50000</v>
      </c>
      <c r="J22" s="11">
        <v>0</v>
      </c>
      <c r="K22" s="11">
        <v>0</v>
      </c>
      <c r="L22" s="41">
        <v>50000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f>SUM(K22:Q22)</f>
        <v>50000</v>
      </c>
      <c r="S22" s="12">
        <f>I22-J22-R22</f>
        <v>0</v>
      </c>
    </row>
    <row r="23" spans="1:19" s="9" customFormat="1" ht="16.5" customHeight="1">
      <c r="A23" s="9" t="s">
        <v>79</v>
      </c>
      <c r="B23" s="51"/>
      <c r="C23" s="51"/>
      <c r="D23" s="51"/>
      <c r="E23" s="54"/>
      <c r="F23" s="48"/>
      <c r="G23" s="48"/>
      <c r="H23" s="3" t="s">
        <v>46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f>SUM(K23:Q23)</f>
        <v>0</v>
      </c>
      <c r="S23" s="11">
        <f>I23-J23-R23</f>
        <v>0</v>
      </c>
    </row>
    <row r="24" spans="1:19" s="9" customFormat="1" ht="16.5" customHeight="1">
      <c r="A24" s="9" t="s">
        <v>79</v>
      </c>
      <c r="B24" s="52"/>
      <c r="C24" s="52"/>
      <c r="D24" s="52"/>
      <c r="E24" s="61"/>
      <c r="F24" s="49"/>
      <c r="G24" s="49"/>
      <c r="H24" s="3" t="s">
        <v>11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f>SUM(K24:Q24)</f>
        <v>0</v>
      </c>
      <c r="S24" s="12">
        <f>I24-J24-R24</f>
        <v>0</v>
      </c>
    </row>
    <row r="25" spans="1:19" s="9" customFormat="1" ht="36" customHeight="1">
      <c r="A25" s="9" t="s">
        <v>45</v>
      </c>
      <c r="B25" s="28"/>
      <c r="C25" s="62" t="s">
        <v>47</v>
      </c>
      <c r="D25" s="63"/>
      <c r="E25" s="63"/>
      <c r="F25" s="63"/>
      <c r="G25" s="64"/>
      <c r="H25" s="17"/>
      <c r="I25" s="24">
        <f>(SUMIF($A$26:$A$181,$A$25,$I26:I$181))/2</f>
        <v>79677129</v>
      </c>
      <c r="J25" s="24">
        <f>(SUMIF($A$26:$A$181,$A$25,$J26:J$181))/2</f>
        <v>132129</v>
      </c>
      <c r="K25" s="24">
        <f>(SUMIF($A$26:$A$181,$A$25,$K26:K$181))/2</f>
        <v>2540000</v>
      </c>
      <c r="L25" s="42">
        <f>(SUMIF($A$26:$A$181,$A$25,$L26:L$181))/2</f>
        <v>4820000</v>
      </c>
      <c r="M25" s="24">
        <f>(SUMIF($A$26:$A$181,$A$25,$M26:M$181))/2</f>
        <v>5392000</v>
      </c>
      <c r="N25" s="24">
        <f>(SUMIF($A$26:$A$181,$A$25,$N26:N$181))/2</f>
        <v>5475000</v>
      </c>
      <c r="O25" s="24">
        <f>(SUMIF($A$26:$A$181,$A$25,$O26:O$181))/2</f>
        <v>6432000</v>
      </c>
      <c r="P25" s="24">
        <f>(SUMIF($A$26:$A$181,$A$25,$P26:P$181))/2</f>
        <v>18158000</v>
      </c>
      <c r="Q25" s="24">
        <f>(SUMIF($A$26:$A$181,$A$25,$Q26:Q$181))/2</f>
        <v>19073000</v>
      </c>
      <c r="R25" s="24">
        <f>(SUMIF($A$26:$A$181,$A$25,$R26:R$181))/2</f>
        <v>61890000</v>
      </c>
      <c r="S25" s="24">
        <f>(SUMIF($A$26:$A$181,$A$25,$S26:S$181))/2</f>
        <v>17655000</v>
      </c>
    </row>
    <row r="26" spans="1:19" s="9" customFormat="1" ht="24" customHeight="1">
      <c r="A26" s="9" t="s">
        <v>45</v>
      </c>
      <c r="B26" s="50">
        <v>47</v>
      </c>
      <c r="C26" s="50">
        <v>4</v>
      </c>
      <c r="D26" s="50">
        <v>3</v>
      </c>
      <c r="E26" s="57" t="s">
        <v>114</v>
      </c>
      <c r="F26" s="47">
        <v>2005</v>
      </c>
      <c r="G26" s="47">
        <v>2008</v>
      </c>
      <c r="H26" s="23" t="s">
        <v>8</v>
      </c>
      <c r="I26" s="10">
        <f>SUBTOTAL(9,I27:I29)</f>
        <v>297345</v>
      </c>
      <c r="J26" s="10">
        <f>SUBTOTAL(9,J27:J29)</f>
        <v>47345</v>
      </c>
      <c r="K26" s="10">
        <f aca="true" t="shared" si="8" ref="K26:S26">SUBTOTAL(9,K27:K29)</f>
        <v>225000</v>
      </c>
      <c r="L26" s="40">
        <f t="shared" si="8"/>
        <v>25000</v>
      </c>
      <c r="M26" s="10">
        <f t="shared" si="8"/>
        <v>0</v>
      </c>
      <c r="N26" s="10">
        <f>SUBTOTAL(9,N27:N29)</f>
        <v>0</v>
      </c>
      <c r="O26" s="10">
        <f t="shared" si="8"/>
        <v>0</v>
      </c>
      <c r="P26" s="10">
        <f t="shared" si="8"/>
        <v>0</v>
      </c>
      <c r="Q26" s="10">
        <f t="shared" si="8"/>
        <v>0</v>
      </c>
      <c r="R26" s="10">
        <f t="shared" si="8"/>
        <v>250000</v>
      </c>
      <c r="S26" s="10">
        <f t="shared" si="8"/>
        <v>0</v>
      </c>
    </row>
    <row r="27" spans="1:19" s="9" customFormat="1" ht="24" customHeight="1">
      <c r="A27" s="9" t="s">
        <v>45</v>
      </c>
      <c r="B27" s="51"/>
      <c r="C27" s="51"/>
      <c r="D27" s="51"/>
      <c r="E27" s="45"/>
      <c r="F27" s="48"/>
      <c r="G27" s="48"/>
      <c r="H27" s="23" t="s">
        <v>10</v>
      </c>
      <c r="I27" s="11">
        <v>297345</v>
      </c>
      <c r="J27" s="11">
        <v>47345</v>
      </c>
      <c r="K27" s="11">
        <v>225000</v>
      </c>
      <c r="L27" s="11">
        <v>25000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f>SUM(K27:Q27)</f>
        <v>250000</v>
      </c>
      <c r="S27" s="12">
        <f>I27-J27-R27</f>
        <v>0</v>
      </c>
    </row>
    <row r="28" spans="1:19" s="9" customFormat="1" ht="24" customHeight="1">
      <c r="A28" s="9" t="s">
        <v>45</v>
      </c>
      <c r="B28" s="51"/>
      <c r="C28" s="51"/>
      <c r="D28" s="51"/>
      <c r="E28" s="45"/>
      <c r="F28" s="48"/>
      <c r="G28" s="48"/>
      <c r="H28" s="3" t="s">
        <v>46</v>
      </c>
      <c r="I28" s="12">
        <v>0</v>
      </c>
      <c r="J28" s="12">
        <v>0</v>
      </c>
      <c r="K28" s="12">
        <v>0</v>
      </c>
      <c r="L28" s="11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f>SUM(K28:Q28)</f>
        <v>0</v>
      </c>
      <c r="S28" s="12">
        <f>I28-J28-R28</f>
        <v>0</v>
      </c>
    </row>
    <row r="29" spans="1:19" s="9" customFormat="1" ht="24" customHeight="1">
      <c r="A29" s="9" t="s">
        <v>45</v>
      </c>
      <c r="B29" s="52"/>
      <c r="C29" s="52"/>
      <c r="D29" s="52"/>
      <c r="E29" s="46"/>
      <c r="F29" s="49"/>
      <c r="G29" s="49"/>
      <c r="H29" s="3" t="s">
        <v>11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2">
        <f>SUM(K29:Q29)</f>
        <v>0</v>
      </c>
      <c r="S29" s="12">
        <f>I29-J29-R29</f>
        <v>0</v>
      </c>
    </row>
    <row r="30" spans="1:19" s="9" customFormat="1" ht="16.5" customHeight="1">
      <c r="A30" s="9" t="s">
        <v>45</v>
      </c>
      <c r="B30" s="50">
        <v>49</v>
      </c>
      <c r="C30" s="50">
        <v>5</v>
      </c>
      <c r="D30" s="50">
        <v>4</v>
      </c>
      <c r="E30" s="53" t="s">
        <v>75</v>
      </c>
      <c r="F30" s="47">
        <v>2004</v>
      </c>
      <c r="G30" s="47">
        <v>2008</v>
      </c>
      <c r="H30" s="23" t="s">
        <v>8</v>
      </c>
      <c r="I30" s="10">
        <f>SUBTOTAL(9,I31:I33)</f>
        <v>1911787</v>
      </c>
      <c r="J30" s="10">
        <f>SUBTOTAL(9,J31:J33)</f>
        <v>61787</v>
      </c>
      <c r="K30" s="10">
        <f>SUBTOTAL(9,K31:K33)</f>
        <v>775000</v>
      </c>
      <c r="L30" s="40">
        <f>SUBTOTAL(9,L31:L33)</f>
        <v>1075000</v>
      </c>
      <c r="M30" s="10">
        <f aca="true" t="shared" si="9" ref="M30:S30">SUBTOTAL(9,M31:M33)</f>
        <v>0</v>
      </c>
      <c r="N30" s="10">
        <f t="shared" si="9"/>
        <v>0</v>
      </c>
      <c r="O30" s="10">
        <f t="shared" si="9"/>
        <v>0</v>
      </c>
      <c r="P30" s="10">
        <f t="shared" si="9"/>
        <v>0</v>
      </c>
      <c r="Q30" s="10">
        <f t="shared" si="9"/>
        <v>0</v>
      </c>
      <c r="R30" s="10">
        <f t="shared" si="9"/>
        <v>1850000</v>
      </c>
      <c r="S30" s="35">
        <f t="shared" si="9"/>
        <v>0</v>
      </c>
    </row>
    <row r="31" spans="1:19" s="9" customFormat="1" ht="16.5" customHeight="1">
      <c r="A31" s="9" t="s">
        <v>45</v>
      </c>
      <c r="B31" s="51"/>
      <c r="C31" s="51"/>
      <c r="D31" s="51"/>
      <c r="E31" s="54"/>
      <c r="F31" s="48"/>
      <c r="G31" s="59"/>
      <c r="H31" s="23" t="s">
        <v>10</v>
      </c>
      <c r="I31" s="11">
        <v>1266787</v>
      </c>
      <c r="J31" s="11">
        <v>61787</v>
      </c>
      <c r="K31" s="11">
        <v>775000</v>
      </c>
      <c r="L31" s="41">
        <f>1075000*100%</f>
        <v>1075000</v>
      </c>
      <c r="M31" s="11">
        <f>(-M32)</f>
        <v>-645000</v>
      </c>
      <c r="N31" s="11">
        <v>0</v>
      </c>
      <c r="O31" s="11">
        <v>0</v>
      </c>
      <c r="P31" s="11">
        <v>0</v>
      </c>
      <c r="Q31" s="11">
        <v>0</v>
      </c>
      <c r="R31" s="12">
        <f>SUM(K31:Q31)</f>
        <v>1205000</v>
      </c>
      <c r="S31" s="12">
        <f>I31-J31-R31</f>
        <v>0</v>
      </c>
    </row>
    <row r="32" spans="1:19" s="9" customFormat="1" ht="16.5" customHeight="1">
      <c r="A32" s="9" t="s">
        <v>45</v>
      </c>
      <c r="B32" s="51"/>
      <c r="C32" s="51"/>
      <c r="D32" s="51"/>
      <c r="E32" s="54"/>
      <c r="F32" s="48"/>
      <c r="G32" s="59"/>
      <c r="H32" s="3" t="s">
        <v>46</v>
      </c>
      <c r="I32" s="11">
        <v>645000</v>
      </c>
      <c r="J32" s="11">
        <v>0</v>
      </c>
      <c r="K32" s="11">
        <v>0</v>
      </c>
      <c r="L32" s="41">
        <v>0</v>
      </c>
      <c r="M32" s="41">
        <f>1075000*60%</f>
        <v>645000</v>
      </c>
      <c r="N32" s="11">
        <v>0</v>
      </c>
      <c r="O32" s="11">
        <v>0</v>
      </c>
      <c r="P32" s="11">
        <v>0</v>
      </c>
      <c r="Q32" s="11">
        <v>0</v>
      </c>
      <c r="R32" s="12">
        <f>SUM(K32:Q32)</f>
        <v>645000</v>
      </c>
      <c r="S32" s="12">
        <f>I32-J32-R32</f>
        <v>0</v>
      </c>
    </row>
    <row r="33" spans="1:19" s="9" customFormat="1" ht="16.5" customHeight="1">
      <c r="A33" s="9" t="s">
        <v>45</v>
      </c>
      <c r="B33" s="52"/>
      <c r="C33" s="52"/>
      <c r="D33" s="52"/>
      <c r="E33" s="61"/>
      <c r="F33" s="49"/>
      <c r="G33" s="60"/>
      <c r="H33" s="3" t="s">
        <v>11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f>SUM(K33:Q33)</f>
        <v>0</v>
      </c>
      <c r="S33" s="12">
        <f>I33-J33-R33</f>
        <v>0</v>
      </c>
    </row>
    <row r="34" spans="1:19" s="9" customFormat="1" ht="16.5" customHeight="1">
      <c r="A34" s="9" t="s">
        <v>45</v>
      </c>
      <c r="B34" s="50">
        <v>47</v>
      </c>
      <c r="C34" s="50">
        <v>6</v>
      </c>
      <c r="D34" s="50">
        <v>5</v>
      </c>
      <c r="E34" s="57" t="s">
        <v>84</v>
      </c>
      <c r="F34" s="47">
        <v>2007</v>
      </c>
      <c r="G34" s="47">
        <v>2008</v>
      </c>
      <c r="H34" s="23" t="s">
        <v>8</v>
      </c>
      <c r="I34" s="10">
        <f aca="true" t="shared" si="10" ref="I34:N34">SUBTOTAL(9,I35:I37)</f>
        <v>2100000</v>
      </c>
      <c r="J34" s="10">
        <f t="shared" si="10"/>
        <v>0</v>
      </c>
      <c r="K34" s="10">
        <f t="shared" si="10"/>
        <v>600000</v>
      </c>
      <c r="L34" s="40">
        <f t="shared" si="10"/>
        <v>1500000</v>
      </c>
      <c r="M34" s="10">
        <f t="shared" si="10"/>
        <v>0</v>
      </c>
      <c r="N34" s="10">
        <f t="shared" si="10"/>
        <v>0</v>
      </c>
      <c r="O34" s="10">
        <f>SUBTOTAL(9,O35:O37)</f>
        <v>0</v>
      </c>
      <c r="P34" s="10">
        <f>SUBTOTAL(9,P35:P37)</f>
        <v>0</v>
      </c>
      <c r="Q34" s="10">
        <f>SUBTOTAL(9,Q35:Q37)</f>
        <v>0</v>
      </c>
      <c r="R34" s="10">
        <f>SUBTOTAL(9,R35:R37)</f>
        <v>2100000</v>
      </c>
      <c r="S34" s="10">
        <f>SUBTOTAL(9,S35:S37)</f>
        <v>0</v>
      </c>
    </row>
    <row r="35" spans="1:19" s="9" customFormat="1" ht="16.5" customHeight="1">
      <c r="A35" s="9" t="s">
        <v>45</v>
      </c>
      <c r="B35" s="51"/>
      <c r="C35" s="51"/>
      <c r="D35" s="51"/>
      <c r="E35" s="45"/>
      <c r="F35" s="48"/>
      <c r="G35" s="48"/>
      <c r="H35" s="23" t="s">
        <v>10</v>
      </c>
      <c r="I35" s="11">
        <v>2100000</v>
      </c>
      <c r="J35" s="11">
        <v>0</v>
      </c>
      <c r="K35" s="11">
        <v>600000</v>
      </c>
      <c r="L35" s="41">
        <v>1500000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f>SUM(K35:Q35)</f>
        <v>2100000</v>
      </c>
      <c r="S35" s="12">
        <f>I35-J35-R35</f>
        <v>0</v>
      </c>
    </row>
    <row r="36" spans="1:19" s="9" customFormat="1" ht="16.5" customHeight="1">
      <c r="A36" s="9" t="s">
        <v>45</v>
      </c>
      <c r="B36" s="51"/>
      <c r="C36" s="51"/>
      <c r="D36" s="51"/>
      <c r="E36" s="45"/>
      <c r="F36" s="48"/>
      <c r="G36" s="48"/>
      <c r="H36" s="3" t="s">
        <v>46</v>
      </c>
      <c r="I36" s="12">
        <v>0</v>
      </c>
      <c r="J36" s="12">
        <v>0</v>
      </c>
      <c r="K36" s="12">
        <v>0</v>
      </c>
      <c r="L36" s="11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f>SUM(K36:Q36)</f>
        <v>0</v>
      </c>
      <c r="S36" s="12">
        <f>I36-J36-R36</f>
        <v>0</v>
      </c>
    </row>
    <row r="37" spans="1:19" s="9" customFormat="1" ht="16.5" customHeight="1">
      <c r="A37" s="9" t="s">
        <v>45</v>
      </c>
      <c r="B37" s="52"/>
      <c r="C37" s="52"/>
      <c r="D37" s="52"/>
      <c r="E37" s="46"/>
      <c r="F37" s="49"/>
      <c r="G37" s="49"/>
      <c r="H37" s="3" t="s">
        <v>11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f>SUM(K37:Q37)</f>
        <v>0</v>
      </c>
      <c r="S37" s="12">
        <f>I37-J37-R37</f>
        <v>0</v>
      </c>
    </row>
    <row r="38" spans="1:19" s="9" customFormat="1" ht="16.5" customHeight="1">
      <c r="A38" s="9" t="s">
        <v>45</v>
      </c>
      <c r="B38" s="50">
        <v>47</v>
      </c>
      <c r="C38" s="50">
        <v>7</v>
      </c>
      <c r="D38" s="50">
        <v>6</v>
      </c>
      <c r="E38" s="57" t="s">
        <v>90</v>
      </c>
      <c r="F38" s="47">
        <v>2008</v>
      </c>
      <c r="G38" s="47">
        <v>2008</v>
      </c>
      <c r="H38" s="23" t="s">
        <v>8</v>
      </c>
      <c r="I38" s="10">
        <f aca="true" t="shared" si="11" ref="I38:N38">SUBTOTAL(9,I39:I41)</f>
        <v>500000</v>
      </c>
      <c r="J38" s="10">
        <f t="shared" si="11"/>
        <v>0</v>
      </c>
      <c r="K38" s="10">
        <f t="shared" si="11"/>
        <v>0</v>
      </c>
      <c r="L38" s="40">
        <f t="shared" si="11"/>
        <v>500000</v>
      </c>
      <c r="M38" s="10">
        <f t="shared" si="11"/>
        <v>0</v>
      </c>
      <c r="N38" s="10">
        <f t="shared" si="11"/>
        <v>0</v>
      </c>
      <c r="O38" s="10">
        <f>SUBTOTAL(9,O39:O41)</f>
        <v>0</v>
      </c>
      <c r="P38" s="10">
        <f>SUBTOTAL(9,P39:P41)</f>
        <v>0</v>
      </c>
      <c r="Q38" s="10">
        <f>SUBTOTAL(9,Q39:Q41)</f>
        <v>0</v>
      </c>
      <c r="R38" s="10">
        <f>SUBTOTAL(9,R39:R41)</f>
        <v>500000</v>
      </c>
      <c r="S38" s="10">
        <f>SUBTOTAL(9,S39:S41)</f>
        <v>0</v>
      </c>
    </row>
    <row r="39" spans="1:19" s="9" customFormat="1" ht="16.5" customHeight="1">
      <c r="A39" s="9" t="s">
        <v>45</v>
      </c>
      <c r="B39" s="51"/>
      <c r="C39" s="51"/>
      <c r="D39" s="51"/>
      <c r="E39" s="45"/>
      <c r="F39" s="48"/>
      <c r="G39" s="48"/>
      <c r="H39" s="23" t="s">
        <v>10</v>
      </c>
      <c r="I39" s="11">
        <v>500000</v>
      </c>
      <c r="J39" s="11">
        <v>0</v>
      </c>
      <c r="K39" s="11">
        <v>0</v>
      </c>
      <c r="L39" s="41">
        <v>500000</v>
      </c>
      <c r="M39" s="11">
        <v>0</v>
      </c>
      <c r="N39" s="11"/>
      <c r="O39" s="11">
        <v>0</v>
      </c>
      <c r="P39" s="11">
        <v>0</v>
      </c>
      <c r="Q39" s="11">
        <v>0</v>
      </c>
      <c r="R39" s="12">
        <f>SUM(K39:Q39)</f>
        <v>500000</v>
      </c>
      <c r="S39" s="12">
        <f>I39-J39-R39</f>
        <v>0</v>
      </c>
    </row>
    <row r="40" spans="1:19" s="9" customFormat="1" ht="16.5" customHeight="1">
      <c r="A40" s="9" t="s">
        <v>45</v>
      </c>
      <c r="B40" s="51"/>
      <c r="C40" s="51"/>
      <c r="D40" s="51"/>
      <c r="E40" s="45"/>
      <c r="F40" s="48"/>
      <c r="G40" s="48"/>
      <c r="H40" s="3" t="s">
        <v>46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f>SUM(K40:Q40)</f>
        <v>0</v>
      </c>
      <c r="S40" s="12">
        <f>I40-J40-R40</f>
        <v>0</v>
      </c>
    </row>
    <row r="41" spans="1:19" s="9" customFormat="1" ht="16.5" customHeight="1">
      <c r="A41" s="9" t="s">
        <v>45</v>
      </c>
      <c r="B41" s="52"/>
      <c r="C41" s="52"/>
      <c r="D41" s="52"/>
      <c r="E41" s="46"/>
      <c r="F41" s="49"/>
      <c r="G41" s="49"/>
      <c r="H41" s="3" t="s">
        <v>11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f>SUM(K41:Q41)</f>
        <v>0</v>
      </c>
      <c r="S41" s="12">
        <f>I41-J41-R41</f>
        <v>0</v>
      </c>
    </row>
    <row r="42" spans="1:19" s="9" customFormat="1" ht="16.5" customHeight="1">
      <c r="A42" s="9" t="s">
        <v>45</v>
      </c>
      <c r="B42" s="50">
        <v>53</v>
      </c>
      <c r="C42" s="50">
        <v>8</v>
      </c>
      <c r="D42" s="50">
        <v>7</v>
      </c>
      <c r="E42" s="53" t="s">
        <v>17</v>
      </c>
      <c r="F42" s="47">
        <v>2007</v>
      </c>
      <c r="G42" s="47">
        <v>2008</v>
      </c>
      <c r="H42" s="23" t="s">
        <v>8</v>
      </c>
      <c r="I42" s="10">
        <f>SUBTOTAL(9,I43:I45)</f>
        <v>250000</v>
      </c>
      <c r="J42" s="10">
        <f>SUBTOTAL(9,J43:J45)</f>
        <v>0</v>
      </c>
      <c r="K42" s="10">
        <f>SUBTOTAL(9,K43:K45)</f>
        <v>100000</v>
      </c>
      <c r="L42" s="40">
        <f aca="true" t="shared" si="12" ref="L42:S42">SUBTOTAL(9,L43:L45)</f>
        <v>150000</v>
      </c>
      <c r="M42" s="10">
        <f t="shared" si="12"/>
        <v>0</v>
      </c>
      <c r="N42" s="10">
        <f t="shared" si="12"/>
        <v>0</v>
      </c>
      <c r="O42" s="10">
        <f t="shared" si="12"/>
        <v>0</v>
      </c>
      <c r="P42" s="10">
        <f t="shared" si="12"/>
        <v>0</v>
      </c>
      <c r="Q42" s="10">
        <f t="shared" si="12"/>
        <v>0</v>
      </c>
      <c r="R42" s="10">
        <f t="shared" si="12"/>
        <v>250000</v>
      </c>
      <c r="S42" s="10">
        <f t="shared" si="12"/>
        <v>0</v>
      </c>
    </row>
    <row r="43" spans="1:19" s="9" customFormat="1" ht="16.5" customHeight="1">
      <c r="A43" s="9" t="s">
        <v>45</v>
      </c>
      <c r="B43" s="51"/>
      <c r="C43" s="51"/>
      <c r="D43" s="51"/>
      <c r="E43" s="54"/>
      <c r="F43" s="48"/>
      <c r="G43" s="48"/>
      <c r="H43" s="23" t="s">
        <v>10</v>
      </c>
      <c r="I43" s="11">
        <f>K43+L43</f>
        <v>250000</v>
      </c>
      <c r="J43" s="11">
        <v>0</v>
      </c>
      <c r="K43" s="11">
        <v>100000</v>
      </c>
      <c r="L43" s="41">
        <v>150000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2">
        <f>SUM(K43:Q43)</f>
        <v>250000</v>
      </c>
      <c r="S43" s="12">
        <f>I43-J43-R43</f>
        <v>0</v>
      </c>
    </row>
    <row r="44" spans="1:19" s="9" customFormat="1" ht="16.5" customHeight="1">
      <c r="A44" s="9" t="s">
        <v>45</v>
      </c>
      <c r="B44" s="51"/>
      <c r="C44" s="51"/>
      <c r="D44" s="51"/>
      <c r="E44" s="54"/>
      <c r="F44" s="48"/>
      <c r="G44" s="48"/>
      <c r="H44" s="3" t="s">
        <v>46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2">
        <f>SUM(K44:Q44)</f>
        <v>0</v>
      </c>
      <c r="S44" s="12">
        <f>I44-J44-R44</f>
        <v>0</v>
      </c>
    </row>
    <row r="45" spans="1:19" s="9" customFormat="1" ht="16.5" customHeight="1">
      <c r="A45" s="9" t="s">
        <v>45</v>
      </c>
      <c r="B45" s="52"/>
      <c r="C45" s="52"/>
      <c r="D45" s="52"/>
      <c r="E45" s="61"/>
      <c r="F45" s="49"/>
      <c r="G45" s="49"/>
      <c r="H45" s="3" t="s">
        <v>11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2">
        <f>SUM(K45:Q45)</f>
        <v>0</v>
      </c>
      <c r="S45" s="12">
        <f>I45-J45-R45</f>
        <v>0</v>
      </c>
    </row>
    <row r="46" spans="1:19" s="9" customFormat="1" ht="16.5" customHeight="1">
      <c r="A46" s="9" t="s">
        <v>45</v>
      </c>
      <c r="B46" s="50">
        <v>47</v>
      </c>
      <c r="C46" s="50">
        <v>9</v>
      </c>
      <c r="D46" s="50">
        <v>10</v>
      </c>
      <c r="E46" s="57" t="s">
        <v>89</v>
      </c>
      <c r="F46" s="47">
        <v>2007</v>
      </c>
      <c r="G46" s="47">
        <v>2008</v>
      </c>
      <c r="H46" s="23" t="s">
        <v>8</v>
      </c>
      <c r="I46" s="10">
        <f aca="true" t="shared" si="13" ref="I46:N46">SUBTOTAL(9,I47:I49)</f>
        <v>240000</v>
      </c>
      <c r="J46" s="10">
        <f t="shared" si="13"/>
        <v>0</v>
      </c>
      <c r="K46" s="10">
        <f t="shared" si="13"/>
        <v>30000</v>
      </c>
      <c r="L46" s="40">
        <f t="shared" si="13"/>
        <v>210000</v>
      </c>
      <c r="M46" s="10">
        <f t="shared" si="13"/>
        <v>0</v>
      </c>
      <c r="N46" s="10">
        <f t="shared" si="13"/>
        <v>0</v>
      </c>
      <c r="O46" s="10">
        <f>SUBTOTAL(9,O47:O49)</f>
        <v>0</v>
      </c>
      <c r="P46" s="10">
        <f>SUBTOTAL(9,P47:P49)</f>
        <v>0</v>
      </c>
      <c r="Q46" s="10">
        <f>SUBTOTAL(9,Q47:Q49)</f>
        <v>0</v>
      </c>
      <c r="R46" s="10">
        <f>SUBTOTAL(9,R47:R49)</f>
        <v>240000</v>
      </c>
      <c r="S46" s="10">
        <f>SUBTOTAL(9,S47:S49)</f>
        <v>0</v>
      </c>
    </row>
    <row r="47" spans="1:19" s="9" customFormat="1" ht="16.5" customHeight="1">
      <c r="A47" s="9" t="s">
        <v>45</v>
      </c>
      <c r="B47" s="51"/>
      <c r="C47" s="51"/>
      <c r="D47" s="51"/>
      <c r="E47" s="45"/>
      <c r="F47" s="48"/>
      <c r="G47" s="48"/>
      <c r="H47" s="23" t="s">
        <v>10</v>
      </c>
      <c r="I47" s="11">
        <v>240000</v>
      </c>
      <c r="J47" s="11">
        <v>0</v>
      </c>
      <c r="K47" s="11">
        <v>30000</v>
      </c>
      <c r="L47" s="41">
        <v>210000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f>SUM(K47:Q47)</f>
        <v>240000</v>
      </c>
      <c r="S47" s="12">
        <f>I47-J47-R47</f>
        <v>0</v>
      </c>
    </row>
    <row r="48" spans="1:19" s="9" customFormat="1" ht="16.5" customHeight="1">
      <c r="A48" s="9" t="s">
        <v>45</v>
      </c>
      <c r="B48" s="51"/>
      <c r="C48" s="51"/>
      <c r="D48" s="51"/>
      <c r="E48" s="45"/>
      <c r="F48" s="48"/>
      <c r="G48" s="48"/>
      <c r="H48" s="3" t="s">
        <v>46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f>SUM(K48:Q48)</f>
        <v>0</v>
      </c>
      <c r="S48" s="12">
        <f>I48-J48-R48</f>
        <v>0</v>
      </c>
    </row>
    <row r="49" spans="1:19" s="9" customFormat="1" ht="16.5" customHeight="1">
      <c r="A49" s="9" t="s">
        <v>45</v>
      </c>
      <c r="B49" s="52"/>
      <c r="C49" s="52"/>
      <c r="D49" s="52"/>
      <c r="E49" s="46"/>
      <c r="F49" s="49"/>
      <c r="G49" s="49"/>
      <c r="H49" s="3" t="s">
        <v>11</v>
      </c>
      <c r="I49" s="11">
        <v>0</v>
      </c>
      <c r="J49" s="11">
        <v>0</v>
      </c>
      <c r="K49" s="11">
        <v>0</v>
      </c>
      <c r="L49" s="12">
        <v>0</v>
      </c>
      <c r="M49" s="11">
        <v>0</v>
      </c>
      <c r="N49" s="11">
        <v>0</v>
      </c>
      <c r="O49" s="11">
        <v>0</v>
      </c>
      <c r="P49" s="11">
        <v>0</v>
      </c>
      <c r="Q49" s="11"/>
      <c r="R49" s="12">
        <f>SUM(K49:Q49)</f>
        <v>0</v>
      </c>
      <c r="S49" s="12">
        <f>I49-J49-R49</f>
        <v>0</v>
      </c>
    </row>
    <row r="50" spans="1:19" s="9" customFormat="1" ht="16.5" customHeight="1">
      <c r="A50" s="9" t="s">
        <v>45</v>
      </c>
      <c r="B50" s="50">
        <v>47</v>
      </c>
      <c r="C50" s="50">
        <v>10</v>
      </c>
      <c r="D50" s="50">
        <v>8</v>
      </c>
      <c r="E50" s="57" t="s">
        <v>103</v>
      </c>
      <c r="F50" s="47">
        <v>2008</v>
      </c>
      <c r="G50" s="47">
        <v>2008</v>
      </c>
      <c r="H50" s="23" t="s">
        <v>8</v>
      </c>
      <c r="I50" s="10">
        <f aca="true" t="shared" si="14" ref="I50:N50">SUBTOTAL(9,I51:I53)</f>
        <v>300000</v>
      </c>
      <c r="J50" s="10">
        <f t="shared" si="14"/>
        <v>0</v>
      </c>
      <c r="K50" s="10">
        <f t="shared" si="14"/>
        <v>0</v>
      </c>
      <c r="L50" s="40">
        <f t="shared" si="14"/>
        <v>300000</v>
      </c>
      <c r="M50" s="10">
        <f t="shared" si="14"/>
        <v>0</v>
      </c>
      <c r="N50" s="10">
        <f t="shared" si="14"/>
        <v>0</v>
      </c>
      <c r="O50" s="10">
        <f>SUBTOTAL(9,O51:O53)</f>
        <v>0</v>
      </c>
      <c r="P50" s="10">
        <f>SUBTOTAL(9,P51:P53)</f>
        <v>0</v>
      </c>
      <c r="Q50" s="10">
        <f>SUBTOTAL(9,Q51:Q53)</f>
        <v>0</v>
      </c>
      <c r="R50" s="10">
        <f>SUBTOTAL(9,R51:R53)</f>
        <v>300000</v>
      </c>
      <c r="S50" s="10">
        <f>SUBTOTAL(9,S51:S53)</f>
        <v>0</v>
      </c>
    </row>
    <row r="51" spans="1:19" s="9" customFormat="1" ht="16.5" customHeight="1">
      <c r="A51" s="9" t="s">
        <v>45</v>
      </c>
      <c r="B51" s="51"/>
      <c r="C51" s="51"/>
      <c r="D51" s="51"/>
      <c r="E51" s="45"/>
      <c r="F51" s="48"/>
      <c r="G51" s="48"/>
      <c r="H51" s="23" t="s">
        <v>10</v>
      </c>
      <c r="I51" s="11">
        <v>300000</v>
      </c>
      <c r="J51" s="11">
        <v>0</v>
      </c>
      <c r="K51" s="11">
        <v>0</v>
      </c>
      <c r="L51" s="41">
        <v>300000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2">
        <f>SUM(K51:Q51)</f>
        <v>300000</v>
      </c>
      <c r="S51" s="12">
        <f>I51-J51-R51</f>
        <v>0</v>
      </c>
    </row>
    <row r="52" spans="1:19" s="9" customFormat="1" ht="16.5" customHeight="1">
      <c r="A52" s="9" t="s">
        <v>45</v>
      </c>
      <c r="B52" s="51"/>
      <c r="C52" s="51"/>
      <c r="D52" s="51"/>
      <c r="E52" s="45"/>
      <c r="F52" s="48"/>
      <c r="G52" s="48"/>
      <c r="H52" s="3" t="s">
        <v>46</v>
      </c>
      <c r="I52" s="11">
        <v>0</v>
      </c>
      <c r="J52" s="11">
        <v>0</v>
      </c>
      <c r="K52" s="11">
        <v>0</v>
      </c>
      <c r="L52" s="12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2">
        <f>SUM(K52:Q52)</f>
        <v>0</v>
      </c>
      <c r="S52" s="12">
        <f>I52-J52-R52</f>
        <v>0</v>
      </c>
    </row>
    <row r="53" spans="1:19" s="9" customFormat="1" ht="16.5" customHeight="1">
      <c r="A53" s="9" t="s">
        <v>45</v>
      </c>
      <c r="B53" s="52"/>
      <c r="C53" s="52"/>
      <c r="D53" s="52"/>
      <c r="E53" s="46"/>
      <c r="F53" s="49"/>
      <c r="G53" s="49"/>
      <c r="H53" s="3" t="s">
        <v>11</v>
      </c>
      <c r="I53" s="11">
        <v>0</v>
      </c>
      <c r="J53" s="11">
        <v>0</v>
      </c>
      <c r="K53" s="11">
        <v>0</v>
      </c>
      <c r="L53" s="12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2">
        <f>SUM(K53:Q53)</f>
        <v>0</v>
      </c>
      <c r="S53" s="12">
        <f>I53-J53-R53</f>
        <v>0</v>
      </c>
    </row>
    <row r="54" spans="1:19" s="9" customFormat="1" ht="16.5" customHeight="1">
      <c r="A54" s="9" t="s">
        <v>45</v>
      </c>
      <c r="B54" s="50">
        <v>48</v>
      </c>
      <c r="C54" s="50">
        <v>11</v>
      </c>
      <c r="D54" s="50">
        <v>9</v>
      </c>
      <c r="E54" s="53" t="s">
        <v>74</v>
      </c>
      <c r="F54" s="47">
        <v>2006</v>
      </c>
      <c r="G54" s="47">
        <v>2009</v>
      </c>
      <c r="H54" s="23" t="s">
        <v>8</v>
      </c>
      <c r="I54" s="10">
        <f>SUBTOTAL(9,I55:I57)</f>
        <v>1595246</v>
      </c>
      <c r="J54" s="10">
        <f>SUBTOTAL(9,J55:J57)</f>
        <v>5246</v>
      </c>
      <c r="K54" s="10">
        <f aca="true" t="shared" si="15" ref="K54:S54">SUBTOTAL(9,K55:K57)</f>
        <v>90000</v>
      </c>
      <c r="L54" s="40">
        <f t="shared" si="15"/>
        <v>500000</v>
      </c>
      <c r="M54" s="10">
        <f t="shared" si="15"/>
        <v>1000000</v>
      </c>
      <c r="N54" s="10">
        <f t="shared" si="15"/>
        <v>0</v>
      </c>
      <c r="O54" s="10">
        <f t="shared" si="15"/>
        <v>0</v>
      </c>
      <c r="P54" s="10">
        <f t="shared" si="15"/>
        <v>0</v>
      </c>
      <c r="Q54" s="10">
        <f t="shared" si="15"/>
        <v>0</v>
      </c>
      <c r="R54" s="10">
        <f t="shared" si="15"/>
        <v>1590000</v>
      </c>
      <c r="S54" s="10">
        <f t="shared" si="15"/>
        <v>0</v>
      </c>
    </row>
    <row r="55" spans="1:19" s="9" customFormat="1" ht="16.5" customHeight="1">
      <c r="A55" s="9" t="s">
        <v>45</v>
      </c>
      <c r="B55" s="51"/>
      <c r="C55" s="51"/>
      <c r="D55" s="51"/>
      <c r="E55" s="54"/>
      <c r="F55" s="48"/>
      <c r="G55" s="48"/>
      <c r="H55" s="23" t="s">
        <v>10</v>
      </c>
      <c r="I55" s="11">
        <v>695246</v>
      </c>
      <c r="J55" s="11">
        <v>5246</v>
      </c>
      <c r="K55" s="11">
        <v>90000</v>
      </c>
      <c r="L55" s="41">
        <v>500000</v>
      </c>
      <c r="M55" s="11">
        <v>700000</v>
      </c>
      <c r="N55" s="11">
        <f>(-N56)</f>
        <v>-600000</v>
      </c>
      <c r="O55" s="11">
        <v>0</v>
      </c>
      <c r="P55" s="11">
        <v>0</v>
      </c>
      <c r="Q55" s="11">
        <v>0</v>
      </c>
      <c r="R55" s="12">
        <f>SUM(K55:Q55)</f>
        <v>690000</v>
      </c>
      <c r="S55" s="12">
        <f>I55-J55-R55</f>
        <v>0</v>
      </c>
    </row>
    <row r="56" spans="1:19" s="9" customFormat="1" ht="16.5" customHeight="1">
      <c r="A56" s="9" t="s">
        <v>45</v>
      </c>
      <c r="B56" s="51"/>
      <c r="C56" s="51"/>
      <c r="D56" s="51"/>
      <c r="E56" s="54"/>
      <c r="F56" s="48"/>
      <c r="G56" s="48"/>
      <c r="H56" s="3" t="s">
        <v>46</v>
      </c>
      <c r="I56" s="11">
        <v>900000</v>
      </c>
      <c r="J56" s="11">
        <v>0</v>
      </c>
      <c r="K56" s="11">
        <v>0</v>
      </c>
      <c r="L56" s="41"/>
      <c r="M56" s="41">
        <f>500000*60%</f>
        <v>300000</v>
      </c>
      <c r="N56" s="11">
        <f>1000000*60%</f>
        <v>600000</v>
      </c>
      <c r="O56" s="11">
        <v>0</v>
      </c>
      <c r="P56" s="11">
        <v>0</v>
      </c>
      <c r="Q56" s="11">
        <v>0</v>
      </c>
      <c r="R56" s="12">
        <f>SUM(K56:Q56)</f>
        <v>900000</v>
      </c>
      <c r="S56" s="12">
        <f>I56-J56-R56</f>
        <v>0</v>
      </c>
    </row>
    <row r="57" spans="1:19" s="9" customFormat="1" ht="16.5" customHeight="1">
      <c r="A57" s="9" t="s">
        <v>45</v>
      </c>
      <c r="B57" s="52"/>
      <c r="C57" s="52"/>
      <c r="D57" s="52"/>
      <c r="E57" s="61"/>
      <c r="F57" s="49"/>
      <c r="G57" s="49"/>
      <c r="H57" s="3" t="s">
        <v>11</v>
      </c>
      <c r="I57" s="11">
        <v>0</v>
      </c>
      <c r="J57" s="11">
        <v>0</v>
      </c>
      <c r="K57" s="11">
        <v>0</v>
      </c>
      <c r="L57" s="4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2">
        <f>SUM(K57:Q57)</f>
        <v>0</v>
      </c>
      <c r="S57" s="12">
        <f>I57-J57-R57</f>
        <v>0</v>
      </c>
    </row>
    <row r="58" spans="1:19" s="9" customFormat="1" ht="16.5" customHeight="1">
      <c r="A58" s="9" t="s">
        <v>45</v>
      </c>
      <c r="B58" s="50">
        <v>55</v>
      </c>
      <c r="C58" s="50">
        <v>12</v>
      </c>
      <c r="D58" s="50">
        <v>12</v>
      </c>
      <c r="E58" s="57" t="s">
        <v>93</v>
      </c>
      <c r="F58" s="47">
        <v>2007</v>
      </c>
      <c r="G58" s="47">
        <v>2010</v>
      </c>
      <c r="H58" s="23" t="s">
        <v>8</v>
      </c>
      <c r="I58" s="10">
        <f>SUBTOTAL(9,I59:I61)</f>
        <v>2510000</v>
      </c>
      <c r="J58" s="10">
        <f>SUBTOTAL(9,J59:J61)</f>
        <v>0</v>
      </c>
      <c r="K58" s="10">
        <f aca="true" t="shared" si="16" ref="K58:S58">SUBTOTAL(9,K59:K61)</f>
        <v>50000</v>
      </c>
      <c r="L58" s="40">
        <f t="shared" si="16"/>
        <v>60000</v>
      </c>
      <c r="M58" s="10">
        <f t="shared" si="16"/>
        <v>1020000</v>
      </c>
      <c r="N58" s="10">
        <f t="shared" si="16"/>
        <v>1380000</v>
      </c>
      <c r="O58" s="10">
        <f t="shared" si="16"/>
        <v>0</v>
      </c>
      <c r="P58" s="10">
        <f t="shared" si="16"/>
        <v>0</v>
      </c>
      <c r="Q58" s="10">
        <f t="shared" si="16"/>
        <v>0</v>
      </c>
      <c r="R58" s="10">
        <f t="shared" si="16"/>
        <v>2510000</v>
      </c>
      <c r="S58" s="10">
        <f t="shared" si="16"/>
        <v>0</v>
      </c>
    </row>
    <row r="59" spans="1:19" s="9" customFormat="1" ht="16.5" customHeight="1">
      <c r="A59" s="9" t="s">
        <v>45</v>
      </c>
      <c r="B59" s="51"/>
      <c r="C59" s="51"/>
      <c r="D59" s="51"/>
      <c r="E59" s="45"/>
      <c r="F59" s="48"/>
      <c r="G59" s="48"/>
      <c r="H59" s="23" t="s">
        <v>10</v>
      </c>
      <c r="I59" s="11">
        <v>2510000</v>
      </c>
      <c r="J59" s="11">
        <v>0</v>
      </c>
      <c r="K59" s="11">
        <v>50000</v>
      </c>
      <c r="L59" s="41">
        <v>60000</v>
      </c>
      <c r="M59" s="11">
        <v>1020000</v>
      </c>
      <c r="N59" s="11">
        <v>1380000</v>
      </c>
      <c r="O59" s="11">
        <v>0</v>
      </c>
      <c r="P59" s="11">
        <v>0</v>
      </c>
      <c r="Q59" s="11">
        <v>0</v>
      </c>
      <c r="R59" s="12">
        <f>SUM(K59:Q59)</f>
        <v>2510000</v>
      </c>
      <c r="S59" s="12">
        <f>I59-J59-R59</f>
        <v>0</v>
      </c>
    </row>
    <row r="60" spans="1:19" s="9" customFormat="1" ht="16.5" customHeight="1">
      <c r="A60" s="9" t="s">
        <v>45</v>
      </c>
      <c r="B60" s="51"/>
      <c r="C60" s="51"/>
      <c r="D60" s="51"/>
      <c r="E60" s="45"/>
      <c r="F60" s="48"/>
      <c r="G60" s="48"/>
      <c r="H60" s="3" t="s">
        <v>46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2">
        <f>SUM(K60:Q60)</f>
        <v>0</v>
      </c>
      <c r="S60" s="12">
        <f>I60-J60-R60</f>
        <v>0</v>
      </c>
    </row>
    <row r="61" spans="1:19" s="9" customFormat="1" ht="16.5" customHeight="1">
      <c r="A61" s="9" t="s">
        <v>45</v>
      </c>
      <c r="B61" s="52"/>
      <c r="C61" s="52"/>
      <c r="D61" s="52"/>
      <c r="E61" s="46"/>
      <c r="F61" s="49"/>
      <c r="G61" s="49"/>
      <c r="H61" s="3" t="s">
        <v>11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/>
      <c r="R61" s="12">
        <f>SUM(K61:Q61)</f>
        <v>0</v>
      </c>
      <c r="S61" s="12">
        <f>I61-J61-R61</f>
        <v>0</v>
      </c>
    </row>
    <row r="62" spans="1:19" s="9" customFormat="1" ht="16.5" customHeight="1">
      <c r="A62" s="9" t="s">
        <v>45</v>
      </c>
      <c r="B62" s="50">
        <v>56</v>
      </c>
      <c r="C62" s="50">
        <v>13</v>
      </c>
      <c r="D62" s="50">
        <v>13</v>
      </c>
      <c r="E62" s="57" t="s">
        <v>104</v>
      </c>
      <c r="F62" s="47"/>
      <c r="G62" s="47"/>
      <c r="H62" s="23" t="s">
        <v>8</v>
      </c>
      <c r="I62" s="10">
        <f>SUBTOTAL(9,I63:I65)</f>
        <v>1100000</v>
      </c>
      <c r="J62" s="10">
        <f>SUBTOTAL(9,J63:J65)</f>
        <v>0</v>
      </c>
      <c r="K62" s="10">
        <f aca="true" t="shared" si="17" ref="K62:S62">SUBTOTAL(9,K63:K65)</f>
        <v>300000</v>
      </c>
      <c r="L62" s="40">
        <f t="shared" si="17"/>
        <v>300000</v>
      </c>
      <c r="M62" s="10">
        <f t="shared" si="17"/>
        <v>100000</v>
      </c>
      <c r="N62" s="10">
        <f t="shared" si="17"/>
        <v>100000</v>
      </c>
      <c r="O62" s="10">
        <f t="shared" si="17"/>
        <v>100000</v>
      </c>
      <c r="P62" s="10">
        <f t="shared" si="17"/>
        <v>100000</v>
      </c>
      <c r="Q62" s="10">
        <f t="shared" si="17"/>
        <v>100000</v>
      </c>
      <c r="R62" s="10">
        <f t="shared" si="17"/>
        <v>1100000</v>
      </c>
      <c r="S62" s="10">
        <f t="shared" si="17"/>
        <v>0</v>
      </c>
    </row>
    <row r="63" spans="1:19" s="9" customFormat="1" ht="16.5" customHeight="1">
      <c r="A63" s="9" t="s">
        <v>45</v>
      </c>
      <c r="B63" s="51"/>
      <c r="C63" s="51"/>
      <c r="D63" s="51"/>
      <c r="E63" s="45"/>
      <c r="F63" s="48"/>
      <c r="G63" s="48"/>
      <c r="H63" s="23" t="s">
        <v>10</v>
      </c>
      <c r="I63" s="11">
        <v>1100000</v>
      </c>
      <c r="J63" s="11">
        <v>0</v>
      </c>
      <c r="K63" s="11">
        <v>300000</v>
      </c>
      <c r="L63" s="41">
        <v>300000</v>
      </c>
      <c r="M63" s="11">
        <v>100000</v>
      </c>
      <c r="N63" s="11">
        <v>100000</v>
      </c>
      <c r="O63" s="11">
        <v>100000</v>
      </c>
      <c r="P63" s="11">
        <v>100000</v>
      </c>
      <c r="Q63" s="11">
        <v>100000</v>
      </c>
      <c r="R63" s="12">
        <f>SUM(K63:Q63)</f>
        <v>1100000</v>
      </c>
      <c r="S63" s="12">
        <f>I63-J63-R63</f>
        <v>0</v>
      </c>
    </row>
    <row r="64" spans="1:19" s="9" customFormat="1" ht="16.5" customHeight="1">
      <c r="A64" s="9" t="s">
        <v>45</v>
      </c>
      <c r="B64" s="51"/>
      <c r="C64" s="51"/>
      <c r="D64" s="51"/>
      <c r="E64" s="45"/>
      <c r="F64" s="48"/>
      <c r="G64" s="48"/>
      <c r="H64" s="3" t="s">
        <v>46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2">
        <f>SUM(K64:Q64)</f>
        <v>0</v>
      </c>
      <c r="S64" s="12">
        <f>I64-J64-R64</f>
        <v>0</v>
      </c>
    </row>
    <row r="65" spans="1:19" s="9" customFormat="1" ht="16.5" customHeight="1">
      <c r="A65" s="9" t="s">
        <v>45</v>
      </c>
      <c r="B65" s="52"/>
      <c r="C65" s="52"/>
      <c r="D65" s="52"/>
      <c r="E65" s="46"/>
      <c r="F65" s="49"/>
      <c r="G65" s="49"/>
      <c r="H65" s="3" t="s">
        <v>11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2">
        <f>SUM(K65:Q65)</f>
        <v>0</v>
      </c>
      <c r="S65" s="12">
        <f>I65-J65-R65</f>
        <v>0</v>
      </c>
    </row>
    <row r="66" spans="1:19" s="9" customFormat="1" ht="16.5" customHeight="1">
      <c r="A66" s="9" t="s">
        <v>45</v>
      </c>
      <c r="B66" s="50">
        <v>47</v>
      </c>
      <c r="C66" s="50">
        <v>14</v>
      </c>
      <c r="D66" s="50">
        <v>14</v>
      </c>
      <c r="E66" s="53" t="s">
        <v>73</v>
      </c>
      <c r="F66" s="47">
        <v>2006</v>
      </c>
      <c r="G66" s="47">
        <v>2009</v>
      </c>
      <c r="H66" s="23" t="s">
        <v>8</v>
      </c>
      <c r="I66" s="10">
        <f aca="true" t="shared" si="18" ref="I66:N66">SUBTOTAL(9,I67:I69)</f>
        <v>1266355</v>
      </c>
      <c r="J66" s="10">
        <f t="shared" si="18"/>
        <v>3355</v>
      </c>
      <c r="K66" s="10">
        <f t="shared" si="18"/>
        <v>90000</v>
      </c>
      <c r="L66" s="40">
        <f t="shared" si="18"/>
        <v>0</v>
      </c>
      <c r="M66" s="10">
        <f t="shared" si="18"/>
        <v>1173000</v>
      </c>
      <c r="N66" s="10">
        <f t="shared" si="18"/>
        <v>0</v>
      </c>
      <c r="O66" s="10">
        <f>SUBTOTAL(9,O67:O69)</f>
        <v>0</v>
      </c>
      <c r="P66" s="10">
        <f>SUBTOTAL(9,P67:P69)</f>
        <v>0</v>
      </c>
      <c r="Q66" s="10">
        <f>SUBTOTAL(9,Q67:Q69)</f>
        <v>0</v>
      </c>
      <c r="R66" s="10">
        <f>SUBTOTAL(9,R67:R69)</f>
        <v>1263000</v>
      </c>
      <c r="S66" s="10">
        <f>SUBTOTAL(9,S67:S69)</f>
        <v>0</v>
      </c>
    </row>
    <row r="67" spans="1:19" s="9" customFormat="1" ht="16.5" customHeight="1">
      <c r="A67" s="9" t="s">
        <v>45</v>
      </c>
      <c r="B67" s="51"/>
      <c r="C67" s="51"/>
      <c r="D67" s="51"/>
      <c r="E67" s="54"/>
      <c r="F67" s="48"/>
      <c r="G67" s="48"/>
      <c r="H67" s="23" t="s">
        <v>10</v>
      </c>
      <c r="I67" s="11">
        <v>562555</v>
      </c>
      <c r="J67" s="11">
        <v>3355</v>
      </c>
      <c r="K67" s="11">
        <v>90000</v>
      </c>
      <c r="L67" s="11">
        <v>0</v>
      </c>
      <c r="M67" s="11">
        <f>1173000*100%</f>
        <v>1173000</v>
      </c>
      <c r="N67" s="11">
        <f>(-N68)</f>
        <v>-703800</v>
      </c>
      <c r="O67" s="11">
        <v>0</v>
      </c>
      <c r="P67" s="11">
        <v>0</v>
      </c>
      <c r="Q67" s="11">
        <v>0</v>
      </c>
      <c r="R67" s="12">
        <f>SUM(K67:Q67)</f>
        <v>559200</v>
      </c>
      <c r="S67" s="12">
        <f>I67-J67-R67</f>
        <v>0</v>
      </c>
    </row>
    <row r="68" spans="1:19" s="9" customFormat="1" ht="16.5" customHeight="1">
      <c r="A68" s="9" t="s">
        <v>45</v>
      </c>
      <c r="B68" s="51"/>
      <c r="C68" s="51"/>
      <c r="D68" s="51"/>
      <c r="E68" s="54"/>
      <c r="F68" s="48"/>
      <c r="G68" s="48"/>
      <c r="H68" s="3" t="s">
        <v>46</v>
      </c>
      <c r="I68" s="11">
        <v>703800</v>
      </c>
      <c r="J68" s="11">
        <v>0</v>
      </c>
      <c r="K68" s="11">
        <v>0</v>
      </c>
      <c r="L68" s="11">
        <v>0</v>
      </c>
      <c r="M68" s="11"/>
      <c r="N68" s="11">
        <f>1173000*60%</f>
        <v>703800</v>
      </c>
      <c r="O68" s="11">
        <v>0</v>
      </c>
      <c r="P68" s="11">
        <v>0</v>
      </c>
      <c r="Q68" s="11">
        <v>0</v>
      </c>
      <c r="R68" s="12">
        <f>SUM(K68:Q68)</f>
        <v>703800</v>
      </c>
      <c r="S68" s="12">
        <f>I68-J68-R68</f>
        <v>0</v>
      </c>
    </row>
    <row r="69" spans="1:19" s="9" customFormat="1" ht="16.5" customHeight="1">
      <c r="A69" s="9" t="s">
        <v>45</v>
      </c>
      <c r="B69" s="52"/>
      <c r="C69" s="52"/>
      <c r="D69" s="52"/>
      <c r="E69" s="61"/>
      <c r="F69" s="49"/>
      <c r="G69" s="49"/>
      <c r="H69" s="3" t="s">
        <v>11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2">
        <f>SUM(K69:Q69)</f>
        <v>0</v>
      </c>
      <c r="S69" s="12">
        <f>I69-J69-R69</f>
        <v>0</v>
      </c>
    </row>
    <row r="70" spans="1:19" s="9" customFormat="1" ht="16.5" customHeight="1">
      <c r="A70" s="9" t="s">
        <v>45</v>
      </c>
      <c r="B70" s="50">
        <v>54</v>
      </c>
      <c r="C70" s="50">
        <v>15</v>
      </c>
      <c r="D70" s="50">
        <v>15</v>
      </c>
      <c r="E70" s="53" t="s">
        <v>18</v>
      </c>
      <c r="F70" s="47">
        <v>2006</v>
      </c>
      <c r="G70" s="47">
        <v>2009</v>
      </c>
      <c r="H70" s="23" t="s">
        <v>8</v>
      </c>
      <c r="I70" s="10">
        <f>SUBTOTAL(9,I71:I73)</f>
        <v>2119246</v>
      </c>
      <c r="J70" s="10">
        <f>SUBTOTAL(9,J71:J73)</f>
        <v>5246</v>
      </c>
      <c r="K70" s="10">
        <f aca="true" t="shared" si="19" ref="K70:S70">SUBTOTAL(9,K71:K73)</f>
        <v>90000</v>
      </c>
      <c r="L70" s="40">
        <f t="shared" si="19"/>
        <v>0</v>
      </c>
      <c r="M70" s="10">
        <f t="shared" si="19"/>
        <v>2024000</v>
      </c>
      <c r="N70" s="10">
        <f t="shared" si="19"/>
        <v>0</v>
      </c>
      <c r="O70" s="10">
        <f t="shared" si="19"/>
        <v>0</v>
      </c>
      <c r="P70" s="10">
        <f t="shared" si="19"/>
        <v>0</v>
      </c>
      <c r="Q70" s="10">
        <f t="shared" si="19"/>
        <v>0</v>
      </c>
      <c r="R70" s="10">
        <f t="shared" si="19"/>
        <v>2114000</v>
      </c>
      <c r="S70" s="10">
        <f t="shared" si="19"/>
        <v>0</v>
      </c>
    </row>
    <row r="71" spans="1:19" s="9" customFormat="1" ht="16.5" customHeight="1">
      <c r="A71" s="9" t="s">
        <v>45</v>
      </c>
      <c r="B71" s="51"/>
      <c r="C71" s="51"/>
      <c r="D71" s="51"/>
      <c r="E71" s="54"/>
      <c r="F71" s="48"/>
      <c r="G71" s="48"/>
      <c r="H71" s="23" t="s">
        <v>10</v>
      </c>
      <c r="I71" s="11">
        <v>904846</v>
      </c>
      <c r="J71" s="11">
        <v>5246</v>
      </c>
      <c r="K71" s="11">
        <v>90000</v>
      </c>
      <c r="L71" s="11">
        <v>0</v>
      </c>
      <c r="M71" s="11">
        <f>2024000*100%</f>
        <v>2024000</v>
      </c>
      <c r="N71" s="11">
        <f>(-N72)</f>
        <v>-1214400</v>
      </c>
      <c r="O71" s="11">
        <v>0</v>
      </c>
      <c r="P71" s="11">
        <v>0</v>
      </c>
      <c r="Q71" s="11">
        <v>0</v>
      </c>
      <c r="R71" s="12">
        <f>SUM(K71:Q71)</f>
        <v>899600</v>
      </c>
      <c r="S71" s="12">
        <f>I71-J71-R71</f>
        <v>0</v>
      </c>
    </row>
    <row r="72" spans="1:19" s="9" customFormat="1" ht="16.5" customHeight="1">
      <c r="A72" s="9" t="s">
        <v>45</v>
      </c>
      <c r="B72" s="51"/>
      <c r="C72" s="51"/>
      <c r="D72" s="51"/>
      <c r="E72" s="54"/>
      <c r="F72" s="48"/>
      <c r="G72" s="48"/>
      <c r="H72" s="3" t="s">
        <v>46</v>
      </c>
      <c r="I72" s="11">
        <v>1214400</v>
      </c>
      <c r="J72" s="11">
        <v>0</v>
      </c>
      <c r="K72" s="11">
        <v>0</v>
      </c>
      <c r="L72" s="11">
        <v>0</v>
      </c>
      <c r="M72" s="11"/>
      <c r="N72" s="11">
        <f>2024000*60%</f>
        <v>1214400</v>
      </c>
      <c r="O72" s="11">
        <v>0</v>
      </c>
      <c r="P72" s="11">
        <v>0</v>
      </c>
      <c r="Q72" s="11">
        <v>0</v>
      </c>
      <c r="R72" s="12">
        <f>SUM(K72:Q72)</f>
        <v>1214400</v>
      </c>
      <c r="S72" s="12">
        <f>I72-J72-R72</f>
        <v>0</v>
      </c>
    </row>
    <row r="73" spans="1:19" s="9" customFormat="1" ht="16.5" customHeight="1">
      <c r="A73" s="9" t="s">
        <v>45</v>
      </c>
      <c r="B73" s="52"/>
      <c r="C73" s="52"/>
      <c r="D73" s="52"/>
      <c r="E73" s="61"/>
      <c r="F73" s="49"/>
      <c r="G73" s="49"/>
      <c r="H73" s="3" t="s">
        <v>11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2">
        <f>SUM(K73:Q73)</f>
        <v>0</v>
      </c>
      <c r="S73" s="12">
        <f>I73-J73-R73</f>
        <v>0</v>
      </c>
    </row>
    <row r="74" spans="1:19" s="9" customFormat="1" ht="16.5" customHeight="1">
      <c r="A74" s="9" t="s">
        <v>45</v>
      </c>
      <c r="B74" s="50">
        <v>60</v>
      </c>
      <c r="C74" s="50">
        <v>16</v>
      </c>
      <c r="D74" s="50">
        <v>16</v>
      </c>
      <c r="E74" s="53" t="s">
        <v>21</v>
      </c>
      <c r="F74" s="47">
        <v>2009</v>
      </c>
      <c r="G74" s="47">
        <v>2009</v>
      </c>
      <c r="H74" s="23" t="s">
        <v>8</v>
      </c>
      <c r="I74" s="10">
        <f>SUBTOTAL(9,I75:I77)</f>
        <v>75000</v>
      </c>
      <c r="J74" s="10">
        <f>SUBTOTAL(9,J75:J77)</f>
        <v>0</v>
      </c>
      <c r="K74" s="10">
        <f aca="true" t="shared" si="20" ref="K74:S74">SUBTOTAL(9,K75:K77)</f>
        <v>0</v>
      </c>
      <c r="L74" s="40">
        <f t="shared" si="20"/>
        <v>0</v>
      </c>
      <c r="M74" s="10">
        <f t="shared" si="20"/>
        <v>75000</v>
      </c>
      <c r="N74" s="10">
        <f t="shared" si="20"/>
        <v>0</v>
      </c>
      <c r="O74" s="10">
        <f t="shared" si="20"/>
        <v>0</v>
      </c>
      <c r="P74" s="10">
        <f t="shared" si="20"/>
        <v>0</v>
      </c>
      <c r="Q74" s="10">
        <f t="shared" si="20"/>
        <v>0</v>
      </c>
      <c r="R74" s="10">
        <f t="shared" si="20"/>
        <v>75000</v>
      </c>
      <c r="S74" s="10">
        <f t="shared" si="20"/>
        <v>0</v>
      </c>
    </row>
    <row r="75" spans="1:19" s="9" customFormat="1" ht="16.5" customHeight="1">
      <c r="A75" s="9" t="s">
        <v>45</v>
      </c>
      <c r="B75" s="51"/>
      <c r="C75" s="51"/>
      <c r="D75" s="51"/>
      <c r="E75" s="54"/>
      <c r="F75" s="48"/>
      <c r="G75" s="48"/>
      <c r="H75" s="23" t="s">
        <v>10</v>
      </c>
      <c r="I75" s="11">
        <v>75000</v>
      </c>
      <c r="J75" s="11">
        <v>0</v>
      </c>
      <c r="K75" s="11">
        <v>0</v>
      </c>
      <c r="L75" s="11">
        <v>0</v>
      </c>
      <c r="M75" s="11">
        <v>75000</v>
      </c>
      <c r="N75" s="11">
        <v>0</v>
      </c>
      <c r="O75" s="11">
        <v>0</v>
      </c>
      <c r="P75" s="11">
        <v>0</v>
      </c>
      <c r="Q75" s="11">
        <v>0</v>
      </c>
      <c r="R75" s="12">
        <f>SUM(K75:Q75)</f>
        <v>75000</v>
      </c>
      <c r="S75" s="12">
        <f>I75-J75-R75</f>
        <v>0</v>
      </c>
    </row>
    <row r="76" spans="1:19" s="9" customFormat="1" ht="16.5" customHeight="1">
      <c r="A76" s="9" t="s">
        <v>45</v>
      </c>
      <c r="B76" s="51"/>
      <c r="C76" s="51"/>
      <c r="D76" s="51"/>
      <c r="E76" s="54"/>
      <c r="F76" s="48"/>
      <c r="G76" s="48"/>
      <c r="H76" s="3" t="s">
        <v>46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2">
        <f>SUM(K76:Q76)</f>
        <v>0</v>
      </c>
      <c r="S76" s="12">
        <f>I76-J76-R76</f>
        <v>0</v>
      </c>
    </row>
    <row r="77" spans="1:19" s="9" customFormat="1" ht="16.5" customHeight="1">
      <c r="A77" s="9" t="s">
        <v>45</v>
      </c>
      <c r="B77" s="52"/>
      <c r="C77" s="52"/>
      <c r="D77" s="52"/>
      <c r="E77" s="61"/>
      <c r="F77" s="49"/>
      <c r="G77" s="49"/>
      <c r="H77" s="3" t="s">
        <v>11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2">
        <f>SUM(K77:Q77)</f>
        <v>0</v>
      </c>
      <c r="S77" s="12">
        <f>I77-J77-R77</f>
        <v>0</v>
      </c>
    </row>
    <row r="78" spans="1:19" s="9" customFormat="1" ht="16.5" customHeight="1">
      <c r="A78" s="9" t="s">
        <v>45</v>
      </c>
      <c r="B78" s="50">
        <v>51</v>
      </c>
      <c r="C78" s="50">
        <v>17</v>
      </c>
      <c r="D78" s="50">
        <v>17</v>
      </c>
      <c r="E78" s="57" t="s">
        <v>76</v>
      </c>
      <c r="F78" s="47">
        <v>2006</v>
      </c>
      <c r="G78" s="47">
        <v>2010</v>
      </c>
      <c r="H78" s="23" t="s">
        <v>8</v>
      </c>
      <c r="I78" s="10">
        <f>SUBTOTAL(9,I79:I81)</f>
        <v>3204150</v>
      </c>
      <c r="J78" s="10">
        <f>SUBTOTAL(9,J79:J81)</f>
        <v>9150</v>
      </c>
      <c r="K78" s="10">
        <f aca="true" t="shared" si="21" ref="K78:S78">SUBTOTAL(9,K79:K81)</f>
        <v>90000</v>
      </c>
      <c r="L78" s="40">
        <f t="shared" si="21"/>
        <v>0</v>
      </c>
      <c r="M78" s="10">
        <f t="shared" si="21"/>
        <v>0</v>
      </c>
      <c r="N78" s="10">
        <f t="shared" si="21"/>
        <v>3105000</v>
      </c>
      <c r="O78" s="10">
        <f t="shared" si="21"/>
        <v>0</v>
      </c>
      <c r="P78" s="10">
        <f t="shared" si="21"/>
        <v>0</v>
      </c>
      <c r="Q78" s="10">
        <f t="shared" si="21"/>
        <v>0</v>
      </c>
      <c r="R78" s="10">
        <f t="shared" si="21"/>
        <v>3195000</v>
      </c>
      <c r="S78" s="10">
        <f t="shared" si="21"/>
        <v>0</v>
      </c>
    </row>
    <row r="79" spans="1:19" s="9" customFormat="1" ht="16.5" customHeight="1">
      <c r="A79" s="9" t="s">
        <v>45</v>
      </c>
      <c r="B79" s="51"/>
      <c r="C79" s="51"/>
      <c r="D79" s="51"/>
      <c r="E79" s="45"/>
      <c r="F79" s="48"/>
      <c r="G79" s="48"/>
      <c r="H79" s="23" t="s">
        <v>10</v>
      </c>
      <c r="I79" s="11">
        <v>1341150</v>
      </c>
      <c r="J79" s="11">
        <v>9150</v>
      </c>
      <c r="K79" s="11">
        <v>90000</v>
      </c>
      <c r="L79" s="11">
        <v>0</v>
      </c>
      <c r="M79" s="11">
        <v>0</v>
      </c>
      <c r="N79" s="11">
        <f>3105000*100%</f>
        <v>3105000</v>
      </c>
      <c r="O79" s="11">
        <f>(-O80)</f>
        <v>-1863000</v>
      </c>
      <c r="P79" s="11">
        <v>0</v>
      </c>
      <c r="Q79" s="11">
        <v>0</v>
      </c>
      <c r="R79" s="12">
        <f>SUM(K79:Q79)</f>
        <v>1332000</v>
      </c>
      <c r="S79" s="12">
        <f>I79-J79-R79</f>
        <v>0</v>
      </c>
    </row>
    <row r="80" spans="1:19" s="9" customFormat="1" ht="16.5" customHeight="1">
      <c r="A80" s="9" t="s">
        <v>45</v>
      </c>
      <c r="B80" s="51"/>
      <c r="C80" s="51"/>
      <c r="D80" s="51"/>
      <c r="E80" s="45"/>
      <c r="F80" s="48"/>
      <c r="G80" s="48"/>
      <c r="H80" s="3" t="s">
        <v>46</v>
      </c>
      <c r="I80" s="11">
        <v>1863000</v>
      </c>
      <c r="J80" s="11">
        <v>0</v>
      </c>
      <c r="K80" s="11">
        <v>0</v>
      </c>
      <c r="L80" s="11">
        <v>0</v>
      </c>
      <c r="M80" s="11">
        <v>0</v>
      </c>
      <c r="N80" s="11"/>
      <c r="O80" s="11">
        <f>3105000*60%</f>
        <v>1863000</v>
      </c>
      <c r="P80" s="11">
        <v>0</v>
      </c>
      <c r="Q80" s="11">
        <v>0</v>
      </c>
      <c r="R80" s="12">
        <f>SUM(K80:Q80)</f>
        <v>1863000</v>
      </c>
      <c r="S80" s="12">
        <f>I80-J80-R80</f>
        <v>0</v>
      </c>
    </row>
    <row r="81" spans="1:19" s="9" customFormat="1" ht="16.5" customHeight="1">
      <c r="A81" s="9" t="s">
        <v>45</v>
      </c>
      <c r="B81" s="52"/>
      <c r="C81" s="52"/>
      <c r="D81" s="52"/>
      <c r="E81" s="46"/>
      <c r="F81" s="49"/>
      <c r="G81" s="49"/>
      <c r="H81" s="3" t="s">
        <v>11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2">
        <f>SUM(K81:Q81)</f>
        <v>0</v>
      </c>
      <c r="S81" s="12">
        <f>I81-J81-R81</f>
        <v>0</v>
      </c>
    </row>
    <row r="82" spans="1:19" s="9" customFormat="1" ht="16.5" customHeight="1">
      <c r="A82" s="9" t="s">
        <v>45</v>
      </c>
      <c r="B82" s="50">
        <v>63</v>
      </c>
      <c r="C82" s="50">
        <v>18</v>
      </c>
      <c r="D82" s="50">
        <v>18</v>
      </c>
      <c r="E82" s="53" t="s">
        <v>23</v>
      </c>
      <c r="F82" s="47">
        <v>2010</v>
      </c>
      <c r="G82" s="47">
        <v>2011</v>
      </c>
      <c r="H82" s="23" t="s">
        <v>8</v>
      </c>
      <c r="I82" s="10">
        <f>SUBTOTAL(9,I83:I85)</f>
        <v>1712000</v>
      </c>
      <c r="J82" s="10">
        <f>SUBTOTAL(9,J83:J85)</f>
        <v>0</v>
      </c>
      <c r="K82" s="10">
        <f aca="true" t="shared" si="22" ref="K82:S82">SUBTOTAL(9,K83:K85)</f>
        <v>0</v>
      </c>
      <c r="L82" s="40">
        <f t="shared" si="22"/>
        <v>0</v>
      </c>
      <c r="M82" s="10">
        <f t="shared" si="22"/>
        <v>0</v>
      </c>
      <c r="N82" s="10">
        <f t="shared" si="22"/>
        <v>240000</v>
      </c>
      <c r="O82" s="10">
        <f t="shared" si="22"/>
        <v>1472000</v>
      </c>
      <c r="P82" s="10">
        <f t="shared" si="22"/>
        <v>0</v>
      </c>
      <c r="Q82" s="10">
        <f t="shared" si="22"/>
        <v>0</v>
      </c>
      <c r="R82" s="10">
        <f t="shared" si="22"/>
        <v>1712000</v>
      </c>
      <c r="S82" s="10">
        <f t="shared" si="22"/>
        <v>0</v>
      </c>
    </row>
    <row r="83" spans="1:19" s="9" customFormat="1" ht="16.5" customHeight="1">
      <c r="A83" s="9" t="s">
        <v>45</v>
      </c>
      <c r="B83" s="51"/>
      <c r="C83" s="51"/>
      <c r="D83" s="51"/>
      <c r="E83" s="54"/>
      <c r="F83" s="48"/>
      <c r="G83" s="48"/>
      <c r="H83" s="23" t="s">
        <v>10</v>
      </c>
      <c r="I83" s="11">
        <v>684800</v>
      </c>
      <c r="J83" s="11">
        <v>0</v>
      </c>
      <c r="K83" s="11">
        <v>0</v>
      </c>
      <c r="L83" s="11">
        <v>0</v>
      </c>
      <c r="M83" s="11">
        <v>0</v>
      </c>
      <c r="N83" s="11">
        <f>240000*100%</f>
        <v>240000</v>
      </c>
      <c r="O83" s="11">
        <v>1328000</v>
      </c>
      <c r="P83" s="11">
        <f>(-P84)</f>
        <v>-883200</v>
      </c>
      <c r="Q83" s="11">
        <v>0</v>
      </c>
      <c r="R83" s="12">
        <f>SUM(K83:Q83)</f>
        <v>684800</v>
      </c>
      <c r="S83" s="12">
        <f>I83-J83-R83</f>
        <v>0</v>
      </c>
    </row>
    <row r="84" spans="1:19" s="9" customFormat="1" ht="16.5" customHeight="1">
      <c r="A84" s="9" t="s">
        <v>45</v>
      </c>
      <c r="B84" s="51"/>
      <c r="C84" s="51"/>
      <c r="D84" s="51"/>
      <c r="E84" s="54"/>
      <c r="F84" s="48"/>
      <c r="G84" s="48"/>
      <c r="H84" s="3" t="s">
        <v>46</v>
      </c>
      <c r="I84" s="11">
        <v>1027200</v>
      </c>
      <c r="J84" s="11">
        <v>0</v>
      </c>
      <c r="K84" s="11">
        <v>0</v>
      </c>
      <c r="L84" s="11">
        <v>0</v>
      </c>
      <c r="M84" s="11">
        <v>0</v>
      </c>
      <c r="N84" s="11"/>
      <c r="O84" s="11">
        <f>240000*60%</f>
        <v>144000</v>
      </c>
      <c r="P84" s="11">
        <f>1472000*60%</f>
        <v>883200</v>
      </c>
      <c r="Q84" s="11">
        <v>0</v>
      </c>
      <c r="R84" s="12">
        <f>SUM(K84:Q84)</f>
        <v>1027200</v>
      </c>
      <c r="S84" s="12">
        <f>I84-J84-R84</f>
        <v>0</v>
      </c>
    </row>
    <row r="85" spans="1:19" s="9" customFormat="1" ht="16.5" customHeight="1">
      <c r="A85" s="9" t="s">
        <v>45</v>
      </c>
      <c r="B85" s="52"/>
      <c r="C85" s="52"/>
      <c r="D85" s="52"/>
      <c r="E85" s="61"/>
      <c r="F85" s="49"/>
      <c r="G85" s="49"/>
      <c r="H85" s="3" t="s">
        <v>11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2">
        <f>SUM(K85:Q85)</f>
        <v>0</v>
      </c>
      <c r="S85" s="12">
        <f>I85-J85-R85</f>
        <v>0</v>
      </c>
    </row>
    <row r="86" spans="1:19" s="9" customFormat="1" ht="16.5" customHeight="1">
      <c r="A86" s="9" t="s">
        <v>45</v>
      </c>
      <c r="B86" s="50">
        <v>61</v>
      </c>
      <c r="C86" s="50">
        <v>19</v>
      </c>
      <c r="D86" s="50">
        <v>19</v>
      </c>
      <c r="E86" s="53" t="s">
        <v>22</v>
      </c>
      <c r="F86" s="47">
        <v>2010</v>
      </c>
      <c r="G86" s="47">
        <v>2012</v>
      </c>
      <c r="H86" s="23" t="s">
        <v>8</v>
      </c>
      <c r="I86" s="10">
        <f>SUBTOTAL(9,I87:I89)</f>
        <v>2150000</v>
      </c>
      <c r="J86" s="10">
        <f>SUBTOTAL(9,J87:J89)</f>
        <v>0</v>
      </c>
      <c r="K86" s="10">
        <f aca="true" t="shared" si="23" ref="K86:S86">SUBTOTAL(9,K87:K89)</f>
        <v>0</v>
      </c>
      <c r="L86" s="40">
        <f t="shared" si="23"/>
        <v>0</v>
      </c>
      <c r="M86" s="10">
        <f t="shared" si="23"/>
        <v>0</v>
      </c>
      <c r="N86" s="10">
        <f t="shared" si="23"/>
        <v>150000</v>
      </c>
      <c r="O86" s="10">
        <f t="shared" si="23"/>
        <v>1000000</v>
      </c>
      <c r="P86" s="10">
        <f t="shared" si="23"/>
        <v>1000000</v>
      </c>
      <c r="Q86" s="10">
        <f t="shared" si="23"/>
        <v>0</v>
      </c>
      <c r="R86" s="10">
        <f t="shared" si="23"/>
        <v>2150000</v>
      </c>
      <c r="S86" s="10">
        <f t="shared" si="23"/>
        <v>0</v>
      </c>
    </row>
    <row r="87" spans="1:19" s="9" customFormat="1" ht="16.5" customHeight="1">
      <c r="A87" s="9" t="s">
        <v>45</v>
      </c>
      <c r="B87" s="51"/>
      <c r="C87" s="51"/>
      <c r="D87" s="51"/>
      <c r="E87" s="54"/>
      <c r="F87" s="48"/>
      <c r="G87" s="48"/>
      <c r="H87" s="23" t="s">
        <v>10</v>
      </c>
      <c r="I87" s="11">
        <v>860000</v>
      </c>
      <c r="J87" s="11">
        <v>0</v>
      </c>
      <c r="K87" s="11">
        <v>0</v>
      </c>
      <c r="L87" s="11">
        <v>0</v>
      </c>
      <c r="M87" s="11">
        <v>0</v>
      </c>
      <c r="N87" s="11">
        <f>150000*100%</f>
        <v>150000</v>
      </c>
      <c r="O87" s="11">
        <v>910000</v>
      </c>
      <c r="P87" s="11">
        <f>1000000*40%</f>
        <v>400000</v>
      </c>
      <c r="Q87" s="11">
        <f>(-Q88)</f>
        <v>-600000</v>
      </c>
      <c r="R87" s="12">
        <f>SUM(K87:Q87)</f>
        <v>860000</v>
      </c>
      <c r="S87" s="12">
        <f>I87-J87-R87</f>
        <v>0</v>
      </c>
    </row>
    <row r="88" spans="1:19" s="9" customFormat="1" ht="16.5" customHeight="1">
      <c r="A88" s="9" t="s">
        <v>45</v>
      </c>
      <c r="B88" s="51"/>
      <c r="C88" s="51"/>
      <c r="D88" s="51"/>
      <c r="E88" s="54"/>
      <c r="F88" s="48"/>
      <c r="G88" s="48"/>
      <c r="H88" s="3" t="s">
        <v>46</v>
      </c>
      <c r="I88" s="11">
        <v>1290000</v>
      </c>
      <c r="J88" s="11">
        <v>0</v>
      </c>
      <c r="K88" s="11">
        <v>0</v>
      </c>
      <c r="L88" s="11">
        <v>0</v>
      </c>
      <c r="M88" s="11">
        <v>0</v>
      </c>
      <c r="N88" s="11"/>
      <c r="O88" s="11">
        <f>150000*60%</f>
        <v>90000</v>
      </c>
      <c r="P88" s="11">
        <f>1000000*60%</f>
        <v>600000</v>
      </c>
      <c r="Q88" s="11">
        <f>1000000*60%</f>
        <v>600000</v>
      </c>
      <c r="R88" s="12">
        <f>SUM(K88:Q88)</f>
        <v>1290000</v>
      </c>
      <c r="S88" s="12">
        <f>I88-J88-R88</f>
        <v>0</v>
      </c>
    </row>
    <row r="89" spans="1:19" s="9" customFormat="1" ht="16.5" customHeight="1">
      <c r="A89" s="9" t="s">
        <v>45</v>
      </c>
      <c r="B89" s="52"/>
      <c r="C89" s="52"/>
      <c r="D89" s="52"/>
      <c r="E89" s="61"/>
      <c r="F89" s="49"/>
      <c r="G89" s="49"/>
      <c r="H89" s="3" t="s">
        <v>11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2">
        <f>SUM(K89:Q89)</f>
        <v>0</v>
      </c>
      <c r="S89" s="12">
        <f>I89-J89-R89</f>
        <v>0</v>
      </c>
    </row>
    <row r="90" spans="1:19" s="9" customFormat="1" ht="16.5" customHeight="1">
      <c r="A90" s="9" t="s">
        <v>45</v>
      </c>
      <c r="B90" s="50">
        <v>58</v>
      </c>
      <c r="C90" s="50">
        <v>20</v>
      </c>
      <c r="D90" s="50">
        <v>20</v>
      </c>
      <c r="E90" s="53" t="s">
        <v>19</v>
      </c>
      <c r="F90" s="47">
        <v>2010</v>
      </c>
      <c r="G90" s="47">
        <v>2013</v>
      </c>
      <c r="H90" s="23" t="s">
        <v>8</v>
      </c>
      <c r="I90" s="10">
        <f>SUBTOTAL(9,I91:I93)</f>
        <v>400000</v>
      </c>
      <c r="J90" s="10">
        <f>SUBTOTAL(9,J91:J93)</f>
        <v>0</v>
      </c>
      <c r="K90" s="10">
        <f aca="true" t="shared" si="24" ref="K90:S90">SUBTOTAL(9,K91:K93)</f>
        <v>0</v>
      </c>
      <c r="L90" s="40">
        <f t="shared" si="24"/>
        <v>0</v>
      </c>
      <c r="M90" s="10">
        <f t="shared" si="24"/>
        <v>0</v>
      </c>
      <c r="N90" s="10">
        <f t="shared" si="24"/>
        <v>100000</v>
      </c>
      <c r="O90" s="10">
        <f t="shared" si="24"/>
        <v>100000</v>
      </c>
      <c r="P90" s="10">
        <f t="shared" si="24"/>
        <v>100000</v>
      </c>
      <c r="Q90" s="10">
        <f t="shared" si="24"/>
        <v>100000</v>
      </c>
      <c r="R90" s="10">
        <f t="shared" si="24"/>
        <v>400000</v>
      </c>
      <c r="S90" s="10">
        <f t="shared" si="24"/>
        <v>0</v>
      </c>
    </row>
    <row r="91" spans="1:19" s="9" customFormat="1" ht="16.5" customHeight="1">
      <c r="A91" s="9" t="s">
        <v>45</v>
      </c>
      <c r="B91" s="51"/>
      <c r="C91" s="51"/>
      <c r="D91" s="51"/>
      <c r="E91" s="54"/>
      <c r="F91" s="48"/>
      <c r="G91" s="48"/>
      <c r="H91" s="23" t="s">
        <v>10</v>
      </c>
      <c r="I91" s="11">
        <v>400000</v>
      </c>
      <c r="J91" s="11">
        <v>0</v>
      </c>
      <c r="K91" s="11">
        <v>0</v>
      </c>
      <c r="L91" s="11">
        <v>0</v>
      </c>
      <c r="M91" s="11"/>
      <c r="N91" s="11">
        <v>100000</v>
      </c>
      <c r="O91" s="11">
        <v>100000</v>
      </c>
      <c r="P91" s="11">
        <v>100000</v>
      </c>
      <c r="Q91" s="11">
        <v>100000</v>
      </c>
      <c r="R91" s="12">
        <f>SUM(K91:Q91)</f>
        <v>400000</v>
      </c>
      <c r="S91" s="12">
        <f>I91-J91-R91</f>
        <v>0</v>
      </c>
    </row>
    <row r="92" spans="1:19" s="9" customFormat="1" ht="16.5" customHeight="1">
      <c r="A92" s="9" t="s">
        <v>45</v>
      </c>
      <c r="B92" s="51"/>
      <c r="C92" s="51"/>
      <c r="D92" s="51"/>
      <c r="E92" s="54"/>
      <c r="F92" s="48"/>
      <c r="G92" s="48"/>
      <c r="H92" s="3" t="s">
        <v>46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2">
        <f>SUM(K92:Q92)</f>
        <v>0</v>
      </c>
      <c r="S92" s="12">
        <f>I92-J92-R92</f>
        <v>0</v>
      </c>
    </row>
    <row r="93" spans="1:19" s="9" customFormat="1" ht="16.5" customHeight="1">
      <c r="A93" s="9" t="s">
        <v>45</v>
      </c>
      <c r="B93" s="52"/>
      <c r="C93" s="52"/>
      <c r="D93" s="52"/>
      <c r="E93" s="61"/>
      <c r="F93" s="49"/>
      <c r="G93" s="49"/>
      <c r="H93" s="3" t="s">
        <v>11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f>SUM(K93:Q93)</f>
        <v>0</v>
      </c>
      <c r="S93" s="12">
        <f>I93-J93-R93</f>
        <v>0</v>
      </c>
    </row>
    <row r="94" spans="1:19" s="9" customFormat="1" ht="16.5" customHeight="1">
      <c r="A94" s="9" t="s">
        <v>45</v>
      </c>
      <c r="B94" s="50">
        <v>65</v>
      </c>
      <c r="C94" s="50">
        <v>21</v>
      </c>
      <c r="D94" s="50">
        <v>21</v>
      </c>
      <c r="E94" s="53" t="s">
        <v>25</v>
      </c>
      <c r="F94" s="47">
        <v>2010</v>
      </c>
      <c r="G94" s="47">
        <v>2013</v>
      </c>
      <c r="H94" s="23" t="s">
        <v>8</v>
      </c>
      <c r="I94" s="10">
        <f>SUBTOTAL(9,I95:I97)</f>
        <v>3400000</v>
      </c>
      <c r="J94" s="10">
        <f>SUBTOTAL(9,J95:J97)</f>
        <v>0</v>
      </c>
      <c r="K94" s="10">
        <f aca="true" t="shared" si="25" ref="K94:S94">SUBTOTAL(9,K95:K97)</f>
        <v>0</v>
      </c>
      <c r="L94" s="40">
        <f t="shared" si="25"/>
        <v>0</v>
      </c>
      <c r="M94" s="10">
        <f t="shared" si="25"/>
        <v>0</v>
      </c>
      <c r="N94" s="10">
        <f t="shared" si="25"/>
        <v>400000</v>
      </c>
      <c r="O94" s="10">
        <f t="shared" si="25"/>
        <v>1000000</v>
      </c>
      <c r="P94" s="10">
        <f t="shared" si="25"/>
        <v>1000000</v>
      </c>
      <c r="Q94" s="10">
        <f t="shared" si="25"/>
        <v>1000000</v>
      </c>
      <c r="R94" s="10">
        <f t="shared" si="25"/>
        <v>3400000</v>
      </c>
      <c r="S94" s="10">
        <f t="shared" si="25"/>
        <v>0</v>
      </c>
    </row>
    <row r="95" spans="1:19" s="9" customFormat="1" ht="16.5" customHeight="1">
      <c r="A95" s="9" t="s">
        <v>45</v>
      </c>
      <c r="B95" s="51"/>
      <c r="C95" s="51"/>
      <c r="D95" s="51"/>
      <c r="E95" s="54"/>
      <c r="F95" s="48"/>
      <c r="G95" s="48"/>
      <c r="H95" s="23" t="s">
        <v>10</v>
      </c>
      <c r="I95" s="11">
        <v>3400000</v>
      </c>
      <c r="J95" s="11">
        <v>0</v>
      </c>
      <c r="K95" s="11">
        <v>0</v>
      </c>
      <c r="L95" s="11">
        <v>0</v>
      </c>
      <c r="M95" s="11">
        <v>0</v>
      </c>
      <c r="N95" s="11">
        <v>400000</v>
      </c>
      <c r="O95" s="11">
        <v>1000000</v>
      </c>
      <c r="P95" s="11">
        <v>1000000</v>
      </c>
      <c r="Q95" s="11">
        <v>1000000</v>
      </c>
      <c r="R95" s="12">
        <f>SUM(K95:Q95)</f>
        <v>3400000</v>
      </c>
      <c r="S95" s="12">
        <f>I95-J95-R95</f>
        <v>0</v>
      </c>
    </row>
    <row r="96" spans="1:19" s="9" customFormat="1" ht="16.5" customHeight="1">
      <c r="A96" s="9" t="s">
        <v>45</v>
      </c>
      <c r="B96" s="51"/>
      <c r="C96" s="51"/>
      <c r="D96" s="51"/>
      <c r="E96" s="54"/>
      <c r="F96" s="48"/>
      <c r="G96" s="48"/>
      <c r="H96" s="3" t="s">
        <v>46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2">
        <f>SUM(K96:Q96)</f>
        <v>0</v>
      </c>
      <c r="S96" s="12">
        <f>I96-J96-R96</f>
        <v>0</v>
      </c>
    </row>
    <row r="97" spans="1:19" s="9" customFormat="1" ht="16.5" customHeight="1">
      <c r="A97" s="9" t="s">
        <v>45</v>
      </c>
      <c r="B97" s="52"/>
      <c r="C97" s="52"/>
      <c r="D97" s="52"/>
      <c r="E97" s="61"/>
      <c r="F97" s="49"/>
      <c r="G97" s="49"/>
      <c r="H97" s="3" t="s">
        <v>11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2">
        <f>SUM(K97:Q97)</f>
        <v>0</v>
      </c>
      <c r="S97" s="12">
        <f>I97-J97-R97</f>
        <v>0</v>
      </c>
    </row>
    <row r="98" spans="1:19" s="9" customFormat="1" ht="16.5" customHeight="1">
      <c r="A98" s="9" t="s">
        <v>45</v>
      </c>
      <c r="B98" s="50">
        <v>59</v>
      </c>
      <c r="C98" s="50">
        <v>22</v>
      </c>
      <c r="D98" s="50">
        <v>11</v>
      </c>
      <c r="E98" s="53" t="s">
        <v>20</v>
      </c>
      <c r="F98" s="47">
        <v>2011</v>
      </c>
      <c r="G98" s="47">
        <v>2011</v>
      </c>
      <c r="H98" s="23" t="s">
        <v>8</v>
      </c>
      <c r="I98" s="10">
        <f>SUBTOTAL(9,I99:I101)</f>
        <v>400000</v>
      </c>
      <c r="J98" s="10">
        <f>SUBTOTAL(9,J99:J101)</f>
        <v>0</v>
      </c>
      <c r="K98" s="10">
        <f aca="true" t="shared" si="26" ref="K98:S98">SUBTOTAL(9,K99:K101)</f>
        <v>0</v>
      </c>
      <c r="L98" s="40">
        <f t="shared" si="26"/>
        <v>0</v>
      </c>
      <c r="M98" s="10">
        <f t="shared" si="26"/>
        <v>0</v>
      </c>
      <c r="N98" s="10">
        <f t="shared" si="26"/>
        <v>0</v>
      </c>
      <c r="O98" s="10">
        <f t="shared" si="26"/>
        <v>400000</v>
      </c>
      <c r="P98" s="10">
        <f t="shared" si="26"/>
        <v>0</v>
      </c>
      <c r="Q98" s="10">
        <f t="shared" si="26"/>
        <v>0</v>
      </c>
      <c r="R98" s="10">
        <f t="shared" si="26"/>
        <v>400000</v>
      </c>
      <c r="S98" s="10">
        <f t="shared" si="26"/>
        <v>0</v>
      </c>
    </row>
    <row r="99" spans="1:19" s="9" customFormat="1" ht="16.5" customHeight="1">
      <c r="A99" s="9" t="s">
        <v>45</v>
      </c>
      <c r="B99" s="51"/>
      <c r="C99" s="51"/>
      <c r="D99" s="51"/>
      <c r="E99" s="54"/>
      <c r="F99" s="48"/>
      <c r="G99" s="48"/>
      <c r="H99" s="23" t="s">
        <v>10</v>
      </c>
      <c r="I99" s="11">
        <v>400000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400000</v>
      </c>
      <c r="P99" s="11">
        <v>0</v>
      </c>
      <c r="Q99" s="11">
        <v>0</v>
      </c>
      <c r="R99" s="12">
        <f>SUM(K99:Q99)</f>
        <v>400000</v>
      </c>
      <c r="S99" s="12">
        <f>I99-J99-R99</f>
        <v>0</v>
      </c>
    </row>
    <row r="100" spans="1:19" s="9" customFormat="1" ht="16.5" customHeight="1">
      <c r="A100" s="9" t="s">
        <v>45</v>
      </c>
      <c r="B100" s="51"/>
      <c r="C100" s="51"/>
      <c r="D100" s="51"/>
      <c r="E100" s="54"/>
      <c r="F100" s="48"/>
      <c r="G100" s="48"/>
      <c r="H100" s="3" t="s">
        <v>46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2">
        <f>SUM(K100:Q100)</f>
        <v>0</v>
      </c>
      <c r="S100" s="12">
        <f>I100-J100-R100</f>
        <v>0</v>
      </c>
    </row>
    <row r="101" spans="1:19" s="9" customFormat="1" ht="16.5" customHeight="1">
      <c r="A101" s="9" t="s">
        <v>45</v>
      </c>
      <c r="B101" s="52"/>
      <c r="C101" s="52"/>
      <c r="D101" s="52"/>
      <c r="E101" s="61"/>
      <c r="F101" s="49"/>
      <c r="G101" s="49"/>
      <c r="H101" s="3" t="s">
        <v>11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2">
        <f>SUM(K101:Q101)</f>
        <v>0</v>
      </c>
      <c r="S101" s="12">
        <f>I101-J101-R101</f>
        <v>0</v>
      </c>
    </row>
    <row r="102" spans="1:19" s="9" customFormat="1" ht="16.5" customHeight="1">
      <c r="A102" s="9" t="s">
        <v>45</v>
      </c>
      <c r="B102" s="50">
        <v>50</v>
      </c>
      <c r="C102" s="50">
        <v>23</v>
      </c>
      <c r="D102" s="50">
        <v>22</v>
      </c>
      <c r="E102" s="57" t="s">
        <v>85</v>
      </c>
      <c r="F102" s="47">
        <v>2007</v>
      </c>
      <c r="G102" s="47">
        <v>2011</v>
      </c>
      <c r="H102" s="23" t="s">
        <v>8</v>
      </c>
      <c r="I102" s="10">
        <f>SUBTOTAL(9,I103:I105)</f>
        <v>1520000</v>
      </c>
      <c r="J102" s="10">
        <f>SUBTOTAL(9,J103:J105)</f>
        <v>0</v>
      </c>
      <c r="K102" s="10">
        <f aca="true" t="shared" si="27" ref="K102:S102">SUBTOTAL(9,K103:K105)</f>
        <v>70000</v>
      </c>
      <c r="L102" s="40">
        <f t="shared" si="27"/>
        <v>50000</v>
      </c>
      <c r="M102" s="10">
        <f t="shared" si="27"/>
        <v>0</v>
      </c>
      <c r="N102" s="10">
        <f t="shared" si="27"/>
        <v>0</v>
      </c>
      <c r="O102" s="10">
        <f t="shared" si="27"/>
        <v>1400000</v>
      </c>
      <c r="P102" s="10">
        <f t="shared" si="27"/>
        <v>0</v>
      </c>
      <c r="Q102" s="10">
        <f t="shared" si="27"/>
        <v>0</v>
      </c>
      <c r="R102" s="10">
        <f t="shared" si="27"/>
        <v>1520000</v>
      </c>
      <c r="S102" s="10">
        <f t="shared" si="27"/>
        <v>0</v>
      </c>
    </row>
    <row r="103" spans="1:19" s="9" customFormat="1" ht="16.5" customHeight="1">
      <c r="A103" s="9" t="s">
        <v>45</v>
      </c>
      <c r="B103" s="51"/>
      <c r="C103" s="51"/>
      <c r="D103" s="51"/>
      <c r="E103" s="45"/>
      <c r="F103" s="48"/>
      <c r="G103" s="48"/>
      <c r="H103" s="23" t="s">
        <v>10</v>
      </c>
      <c r="I103" s="11">
        <v>680000</v>
      </c>
      <c r="J103" s="11">
        <v>0</v>
      </c>
      <c r="K103" s="11">
        <v>70000</v>
      </c>
      <c r="L103" s="41">
        <v>50000</v>
      </c>
      <c r="M103" s="11">
        <v>0</v>
      </c>
      <c r="N103" s="11">
        <v>0</v>
      </c>
      <c r="O103" s="11">
        <f>1400000*100%</f>
        <v>1400000</v>
      </c>
      <c r="P103" s="11">
        <f>(-P104)</f>
        <v>-840000</v>
      </c>
      <c r="Q103" s="11">
        <v>0</v>
      </c>
      <c r="R103" s="12">
        <f>SUM(K103:Q103)</f>
        <v>680000</v>
      </c>
      <c r="S103" s="12">
        <f>I103-J103-R103</f>
        <v>0</v>
      </c>
    </row>
    <row r="104" spans="1:19" s="9" customFormat="1" ht="16.5" customHeight="1">
      <c r="A104" s="9" t="s">
        <v>45</v>
      </c>
      <c r="B104" s="51"/>
      <c r="C104" s="51"/>
      <c r="D104" s="51"/>
      <c r="E104" s="45"/>
      <c r="F104" s="48"/>
      <c r="G104" s="48"/>
      <c r="H104" s="3" t="s">
        <v>46</v>
      </c>
      <c r="I104" s="11">
        <v>840000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/>
      <c r="P104" s="11">
        <f>1400000*60%</f>
        <v>840000</v>
      </c>
      <c r="Q104" s="11">
        <v>0</v>
      </c>
      <c r="R104" s="12">
        <f>SUM(K104:Q104)</f>
        <v>840000</v>
      </c>
      <c r="S104" s="12">
        <f>I104-J104-R104</f>
        <v>0</v>
      </c>
    </row>
    <row r="105" spans="1:19" s="9" customFormat="1" ht="16.5" customHeight="1">
      <c r="A105" s="9" t="s">
        <v>45</v>
      </c>
      <c r="B105" s="52"/>
      <c r="C105" s="52"/>
      <c r="D105" s="52"/>
      <c r="E105" s="46"/>
      <c r="F105" s="49"/>
      <c r="G105" s="49"/>
      <c r="H105" s="3" t="s">
        <v>11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2">
        <f>SUM(K105:Q105)</f>
        <v>0</v>
      </c>
      <c r="S105" s="12">
        <f>I105-J105-R105</f>
        <v>0</v>
      </c>
    </row>
    <row r="106" spans="1:19" s="9" customFormat="1" ht="16.5" customHeight="1">
      <c r="A106" s="9" t="s">
        <v>45</v>
      </c>
      <c r="B106" s="50">
        <v>64</v>
      </c>
      <c r="C106" s="50">
        <v>24</v>
      </c>
      <c r="D106" s="50">
        <v>23</v>
      </c>
      <c r="E106" s="53" t="s">
        <v>24</v>
      </c>
      <c r="F106" s="47">
        <v>2011</v>
      </c>
      <c r="G106" s="47">
        <v>2012</v>
      </c>
      <c r="H106" s="23" t="s">
        <v>8</v>
      </c>
      <c r="I106" s="10">
        <f>SUBTOTAL(9,I107:I109)</f>
        <v>2760000</v>
      </c>
      <c r="J106" s="10">
        <f>SUBTOTAL(9,J107:J109)</f>
        <v>0</v>
      </c>
      <c r="K106" s="10">
        <f aca="true" t="shared" si="28" ref="K106:S106">SUBTOTAL(9,K107:K109)</f>
        <v>0</v>
      </c>
      <c r="L106" s="40">
        <f t="shared" si="28"/>
        <v>0</v>
      </c>
      <c r="M106" s="10">
        <f t="shared" si="28"/>
        <v>0</v>
      </c>
      <c r="N106" s="10">
        <f t="shared" si="28"/>
        <v>0</v>
      </c>
      <c r="O106" s="10">
        <f t="shared" si="28"/>
        <v>60000</v>
      </c>
      <c r="P106" s="10">
        <f>SUBTOTAL(9,P107:P109)</f>
        <v>2700000</v>
      </c>
      <c r="Q106" s="10">
        <f t="shared" si="28"/>
        <v>0</v>
      </c>
      <c r="R106" s="10">
        <f t="shared" si="28"/>
        <v>2760000</v>
      </c>
      <c r="S106" s="10">
        <f t="shared" si="28"/>
        <v>0</v>
      </c>
    </row>
    <row r="107" spans="1:19" s="9" customFormat="1" ht="16.5" customHeight="1">
      <c r="A107" s="9" t="s">
        <v>45</v>
      </c>
      <c r="B107" s="51"/>
      <c r="C107" s="51"/>
      <c r="D107" s="51"/>
      <c r="E107" s="54"/>
      <c r="F107" s="48"/>
      <c r="G107" s="48"/>
      <c r="H107" s="23" t="s">
        <v>10</v>
      </c>
      <c r="I107" s="11">
        <v>1104000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f>60000*100%</f>
        <v>60000</v>
      </c>
      <c r="P107" s="11">
        <v>2664000</v>
      </c>
      <c r="Q107" s="11">
        <f>(-Q108)</f>
        <v>-1620000</v>
      </c>
      <c r="R107" s="12">
        <f>SUM(K107:Q107)</f>
        <v>1104000</v>
      </c>
      <c r="S107" s="12">
        <f>I107-J107-R107</f>
        <v>0</v>
      </c>
    </row>
    <row r="108" spans="1:19" s="9" customFormat="1" ht="16.5" customHeight="1">
      <c r="A108" s="9" t="s">
        <v>45</v>
      </c>
      <c r="B108" s="51"/>
      <c r="C108" s="51"/>
      <c r="D108" s="51"/>
      <c r="E108" s="54"/>
      <c r="F108" s="48"/>
      <c r="G108" s="48"/>
      <c r="H108" s="3" t="s">
        <v>46</v>
      </c>
      <c r="I108" s="11">
        <v>1656000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/>
      <c r="P108" s="11">
        <f>60000*60%</f>
        <v>36000</v>
      </c>
      <c r="Q108" s="11">
        <f>2700000*60%</f>
        <v>1620000</v>
      </c>
      <c r="R108" s="12">
        <f>SUM(K108:Q108)</f>
        <v>1656000</v>
      </c>
      <c r="S108" s="12">
        <f>I108-J108-R108</f>
        <v>0</v>
      </c>
    </row>
    <row r="109" spans="1:19" s="9" customFormat="1" ht="16.5" customHeight="1">
      <c r="A109" s="9" t="s">
        <v>45</v>
      </c>
      <c r="B109" s="52"/>
      <c r="C109" s="52"/>
      <c r="D109" s="52"/>
      <c r="E109" s="61"/>
      <c r="F109" s="49"/>
      <c r="G109" s="49"/>
      <c r="H109" s="3" t="s">
        <v>11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2">
        <f>SUM(K109:Q109)</f>
        <v>0</v>
      </c>
      <c r="S109" s="12">
        <f>I109-J109-R109</f>
        <v>0</v>
      </c>
    </row>
    <row r="110" spans="1:19" s="9" customFormat="1" ht="16.5" customHeight="1">
      <c r="A110" s="9" t="s">
        <v>45</v>
      </c>
      <c r="B110" s="50">
        <v>74</v>
      </c>
      <c r="C110" s="50">
        <v>25</v>
      </c>
      <c r="D110" s="50">
        <v>24</v>
      </c>
      <c r="E110" s="53" t="s">
        <v>31</v>
      </c>
      <c r="F110" s="47">
        <v>2011</v>
      </c>
      <c r="G110" s="47">
        <v>2012</v>
      </c>
      <c r="H110" s="23" t="s">
        <v>8</v>
      </c>
      <c r="I110" s="10">
        <f aca="true" t="shared" si="29" ref="I110:S110">SUBTOTAL(9,I111:I113)</f>
        <v>1204000</v>
      </c>
      <c r="J110" s="10">
        <f t="shared" si="29"/>
        <v>0</v>
      </c>
      <c r="K110" s="10">
        <f t="shared" si="29"/>
        <v>0</v>
      </c>
      <c r="L110" s="40">
        <f t="shared" si="29"/>
        <v>0</v>
      </c>
      <c r="M110" s="10">
        <f t="shared" si="29"/>
        <v>0</v>
      </c>
      <c r="N110" s="10">
        <f t="shared" si="29"/>
        <v>0</v>
      </c>
      <c r="O110" s="10">
        <f t="shared" si="29"/>
        <v>100000</v>
      </c>
      <c r="P110" s="10">
        <f t="shared" si="29"/>
        <v>1104000</v>
      </c>
      <c r="Q110" s="10">
        <f t="shared" si="29"/>
        <v>0</v>
      </c>
      <c r="R110" s="10">
        <f t="shared" si="29"/>
        <v>1204000</v>
      </c>
      <c r="S110" s="10">
        <f t="shared" si="29"/>
        <v>0</v>
      </c>
    </row>
    <row r="111" spans="1:19" s="9" customFormat="1" ht="16.5" customHeight="1">
      <c r="A111" s="9" t="s">
        <v>45</v>
      </c>
      <c r="B111" s="51"/>
      <c r="C111" s="51"/>
      <c r="D111" s="51"/>
      <c r="E111" s="54"/>
      <c r="F111" s="48"/>
      <c r="G111" s="48"/>
      <c r="H111" s="23" t="s">
        <v>10</v>
      </c>
      <c r="I111" s="11">
        <v>481600</v>
      </c>
      <c r="J111" s="11"/>
      <c r="K111" s="11">
        <v>0</v>
      </c>
      <c r="L111" s="11">
        <v>0</v>
      </c>
      <c r="M111" s="11">
        <v>0</v>
      </c>
      <c r="N111" s="11">
        <v>0</v>
      </c>
      <c r="O111" s="11">
        <f>100000*100%</f>
        <v>100000</v>
      </c>
      <c r="P111" s="11">
        <v>1044000</v>
      </c>
      <c r="Q111" s="11">
        <f>(-Q112)</f>
        <v>-662400</v>
      </c>
      <c r="R111" s="12">
        <f>SUM(K111:Q111)</f>
        <v>481600</v>
      </c>
      <c r="S111" s="12">
        <f>I111-J111-R111</f>
        <v>0</v>
      </c>
    </row>
    <row r="112" spans="1:19" s="9" customFormat="1" ht="16.5" customHeight="1">
      <c r="A112" s="9" t="s">
        <v>45</v>
      </c>
      <c r="B112" s="51"/>
      <c r="C112" s="51"/>
      <c r="D112" s="51"/>
      <c r="E112" s="54"/>
      <c r="F112" s="48"/>
      <c r="G112" s="48"/>
      <c r="H112" s="3" t="s">
        <v>46</v>
      </c>
      <c r="I112" s="11">
        <v>722400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/>
      <c r="P112" s="11">
        <f>100000*60%</f>
        <v>60000</v>
      </c>
      <c r="Q112" s="11">
        <f>1104000*60%</f>
        <v>662400</v>
      </c>
      <c r="R112" s="12">
        <f>SUM(K112:Q112)</f>
        <v>722400</v>
      </c>
      <c r="S112" s="12">
        <f>I112-J112-R112</f>
        <v>0</v>
      </c>
    </row>
    <row r="113" spans="1:19" s="9" customFormat="1" ht="16.5" customHeight="1">
      <c r="A113" s="9" t="s">
        <v>45</v>
      </c>
      <c r="B113" s="52"/>
      <c r="C113" s="52"/>
      <c r="D113" s="52"/>
      <c r="E113" s="61"/>
      <c r="F113" s="49"/>
      <c r="G113" s="49"/>
      <c r="H113" s="3" t="s">
        <v>11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2">
        <f>SUM(K113:Q113)</f>
        <v>0</v>
      </c>
      <c r="S113" s="12">
        <f>I113-J113-R113</f>
        <v>0</v>
      </c>
    </row>
    <row r="114" spans="1:19" s="9" customFormat="1" ht="16.5" customHeight="1">
      <c r="A114" s="9" t="s">
        <v>45</v>
      </c>
      <c r="B114" s="50">
        <v>66</v>
      </c>
      <c r="C114" s="50">
        <v>26</v>
      </c>
      <c r="D114" s="50">
        <v>25</v>
      </c>
      <c r="E114" s="53" t="s">
        <v>26</v>
      </c>
      <c r="F114" s="47">
        <v>2011</v>
      </c>
      <c r="G114" s="47">
        <v>2013</v>
      </c>
      <c r="H114" s="23" t="s">
        <v>8</v>
      </c>
      <c r="I114" s="10">
        <f>SUBTOTAL(9,I115:I117)</f>
        <v>3895000</v>
      </c>
      <c r="J114" s="10">
        <f>SUBTOTAL(9,J115:J117)</f>
        <v>0</v>
      </c>
      <c r="K114" s="10">
        <f aca="true" t="shared" si="30" ref="K114:S114">SUBTOTAL(9,K115:K117)</f>
        <v>0</v>
      </c>
      <c r="L114" s="40">
        <f t="shared" si="30"/>
        <v>0</v>
      </c>
      <c r="M114" s="10">
        <f t="shared" si="30"/>
        <v>0</v>
      </c>
      <c r="N114" s="10">
        <f t="shared" si="30"/>
        <v>0</v>
      </c>
      <c r="O114" s="10">
        <f t="shared" si="30"/>
        <v>100000</v>
      </c>
      <c r="P114" s="10">
        <f t="shared" si="30"/>
        <v>1898000</v>
      </c>
      <c r="Q114" s="10">
        <f t="shared" si="30"/>
        <v>1897000</v>
      </c>
      <c r="R114" s="10">
        <f t="shared" si="30"/>
        <v>3895000</v>
      </c>
      <c r="S114" s="10">
        <f t="shared" si="30"/>
        <v>0</v>
      </c>
    </row>
    <row r="115" spans="1:19" s="9" customFormat="1" ht="16.5" customHeight="1">
      <c r="A115" s="9" t="s">
        <v>45</v>
      </c>
      <c r="B115" s="51"/>
      <c r="C115" s="51"/>
      <c r="D115" s="51"/>
      <c r="E115" s="54"/>
      <c r="F115" s="48"/>
      <c r="G115" s="48"/>
      <c r="H115" s="23" t="s">
        <v>10</v>
      </c>
      <c r="I115" s="11">
        <v>1558000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f>100000*100%</f>
        <v>100000</v>
      </c>
      <c r="P115" s="11">
        <v>1838000</v>
      </c>
      <c r="Q115" s="11">
        <v>758200</v>
      </c>
      <c r="R115" s="12">
        <f>SUM(K115:Q115)</f>
        <v>2696200</v>
      </c>
      <c r="S115" s="12">
        <f>I115-J115-R115</f>
        <v>-1138200</v>
      </c>
    </row>
    <row r="116" spans="1:19" s="9" customFormat="1" ht="16.5" customHeight="1">
      <c r="A116" s="9" t="s">
        <v>45</v>
      </c>
      <c r="B116" s="51"/>
      <c r="C116" s="51"/>
      <c r="D116" s="51"/>
      <c r="E116" s="54"/>
      <c r="F116" s="48"/>
      <c r="G116" s="48"/>
      <c r="H116" s="3" t="s">
        <v>46</v>
      </c>
      <c r="I116" s="11">
        <v>2337000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/>
      <c r="P116" s="11">
        <f>100000*60%</f>
        <v>60000</v>
      </c>
      <c r="Q116" s="11">
        <f>1898000*60%</f>
        <v>1138800</v>
      </c>
      <c r="R116" s="12">
        <f>SUM(K116:Q116)</f>
        <v>1198800</v>
      </c>
      <c r="S116" s="12">
        <f>I116-J116-R116</f>
        <v>1138200</v>
      </c>
    </row>
    <row r="117" spans="1:19" s="9" customFormat="1" ht="16.5" customHeight="1">
      <c r="A117" s="9" t="s">
        <v>45</v>
      </c>
      <c r="B117" s="52"/>
      <c r="C117" s="52"/>
      <c r="D117" s="52"/>
      <c r="E117" s="61"/>
      <c r="F117" s="49"/>
      <c r="G117" s="49"/>
      <c r="H117" s="3" t="s">
        <v>11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2">
        <f>SUM(K117:Q117)</f>
        <v>0</v>
      </c>
      <c r="S117" s="12">
        <f>I117-J117-R117</f>
        <v>0</v>
      </c>
    </row>
    <row r="118" spans="1:19" s="9" customFormat="1" ht="16.5" customHeight="1">
      <c r="A118" s="9" t="s">
        <v>45</v>
      </c>
      <c r="B118" s="50">
        <v>67</v>
      </c>
      <c r="C118" s="50">
        <v>27</v>
      </c>
      <c r="D118" s="50">
        <v>26</v>
      </c>
      <c r="E118" s="53" t="s">
        <v>27</v>
      </c>
      <c r="F118" s="47">
        <v>2011</v>
      </c>
      <c r="G118" s="47">
        <v>2013</v>
      </c>
      <c r="H118" s="23" t="s">
        <v>8</v>
      </c>
      <c r="I118" s="10">
        <f>SUBTOTAL(9,I119:I121)</f>
        <v>3312000</v>
      </c>
      <c r="J118" s="10">
        <f>SUBTOTAL(9,J119:J121)</f>
        <v>0</v>
      </c>
      <c r="K118" s="10">
        <f aca="true" t="shared" si="31" ref="K118:S118">SUBTOTAL(9,K119:K121)</f>
        <v>0</v>
      </c>
      <c r="L118" s="40">
        <f t="shared" si="31"/>
        <v>0</v>
      </c>
      <c r="M118" s="10">
        <f t="shared" si="31"/>
        <v>0</v>
      </c>
      <c r="N118" s="10">
        <f t="shared" si="31"/>
        <v>0</v>
      </c>
      <c r="O118" s="10">
        <f t="shared" si="31"/>
        <v>100000</v>
      </c>
      <c r="P118" s="10">
        <f t="shared" si="31"/>
        <v>1556000</v>
      </c>
      <c r="Q118" s="10">
        <f t="shared" si="31"/>
        <v>1656000</v>
      </c>
      <c r="R118" s="10">
        <f t="shared" si="31"/>
        <v>3312000</v>
      </c>
      <c r="S118" s="10">
        <f t="shared" si="31"/>
        <v>0</v>
      </c>
    </row>
    <row r="119" spans="1:19" s="9" customFormat="1" ht="16.5" customHeight="1">
      <c r="A119" s="9" t="s">
        <v>45</v>
      </c>
      <c r="B119" s="51"/>
      <c r="C119" s="51"/>
      <c r="D119" s="51"/>
      <c r="E119" s="54"/>
      <c r="F119" s="48"/>
      <c r="G119" s="48"/>
      <c r="H119" s="23" t="s">
        <v>10</v>
      </c>
      <c r="I119" s="11">
        <v>1324800</v>
      </c>
      <c r="J119" s="11"/>
      <c r="K119" s="11">
        <v>0</v>
      </c>
      <c r="L119" s="11">
        <v>0</v>
      </c>
      <c r="M119" s="11">
        <v>0</v>
      </c>
      <c r="N119" s="11">
        <v>0</v>
      </c>
      <c r="O119" s="11">
        <f>100000*100%</f>
        <v>100000</v>
      </c>
      <c r="P119" s="11">
        <v>1496000</v>
      </c>
      <c r="Q119" s="11">
        <v>722400</v>
      </c>
      <c r="R119" s="12">
        <f>SUM(K119:Q119)</f>
        <v>2318400</v>
      </c>
      <c r="S119" s="12">
        <f>I119-J119-R119</f>
        <v>-993600</v>
      </c>
    </row>
    <row r="120" spans="1:19" s="9" customFormat="1" ht="16.5" customHeight="1">
      <c r="A120" s="9" t="s">
        <v>45</v>
      </c>
      <c r="B120" s="51"/>
      <c r="C120" s="51"/>
      <c r="D120" s="51"/>
      <c r="E120" s="54"/>
      <c r="F120" s="48"/>
      <c r="G120" s="48"/>
      <c r="H120" s="3" t="s">
        <v>46</v>
      </c>
      <c r="I120" s="11">
        <v>1987200</v>
      </c>
      <c r="J120" s="11"/>
      <c r="K120" s="11">
        <v>0</v>
      </c>
      <c r="L120" s="11">
        <v>0</v>
      </c>
      <c r="M120" s="11">
        <v>0</v>
      </c>
      <c r="N120" s="11">
        <v>0</v>
      </c>
      <c r="O120" s="11"/>
      <c r="P120" s="11">
        <f>100000*60%</f>
        <v>60000</v>
      </c>
      <c r="Q120" s="11">
        <v>933600</v>
      </c>
      <c r="R120" s="12">
        <f>SUM(K120:Q120)</f>
        <v>993600</v>
      </c>
      <c r="S120" s="12">
        <f>I120-J120-R120</f>
        <v>993600</v>
      </c>
    </row>
    <row r="121" spans="1:19" s="9" customFormat="1" ht="16.5" customHeight="1">
      <c r="A121" s="9" t="s">
        <v>45</v>
      </c>
      <c r="B121" s="52"/>
      <c r="C121" s="52"/>
      <c r="D121" s="52"/>
      <c r="E121" s="61"/>
      <c r="F121" s="49"/>
      <c r="G121" s="49"/>
      <c r="H121" s="3" t="s">
        <v>11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2">
        <f>SUM(K121:Q121)</f>
        <v>0</v>
      </c>
      <c r="S121" s="12">
        <f>I121-J121-R121</f>
        <v>0</v>
      </c>
    </row>
    <row r="122" spans="1:19" s="9" customFormat="1" ht="16.5" customHeight="1">
      <c r="A122" s="9" t="s">
        <v>45</v>
      </c>
      <c r="B122" s="50">
        <v>68</v>
      </c>
      <c r="C122" s="50">
        <v>28</v>
      </c>
      <c r="D122" s="50">
        <v>27</v>
      </c>
      <c r="E122" s="53" t="s">
        <v>28</v>
      </c>
      <c r="F122" s="47">
        <v>2011</v>
      </c>
      <c r="G122" s="47">
        <v>2013</v>
      </c>
      <c r="H122" s="23" t="s">
        <v>8</v>
      </c>
      <c r="I122" s="10">
        <f>SUBTOTAL(9,I123:I125)</f>
        <v>14000000</v>
      </c>
      <c r="J122" s="10">
        <f>SUBTOTAL(9,J123:J125)</f>
        <v>0</v>
      </c>
      <c r="K122" s="10">
        <f aca="true" t="shared" si="32" ref="K122:S122">SUBTOTAL(9,K123:K125)</f>
        <v>0</v>
      </c>
      <c r="L122" s="40">
        <f t="shared" si="32"/>
        <v>0</v>
      </c>
      <c r="M122" s="10">
        <f t="shared" si="32"/>
        <v>0</v>
      </c>
      <c r="N122" s="10">
        <f t="shared" si="32"/>
        <v>0</v>
      </c>
      <c r="O122" s="10">
        <f t="shared" si="32"/>
        <v>500000</v>
      </c>
      <c r="P122" s="10">
        <f t="shared" si="32"/>
        <v>6500000</v>
      </c>
      <c r="Q122" s="10">
        <f t="shared" si="32"/>
        <v>7000000</v>
      </c>
      <c r="R122" s="10">
        <f t="shared" si="32"/>
        <v>14000000</v>
      </c>
      <c r="S122" s="10">
        <f t="shared" si="32"/>
        <v>0</v>
      </c>
    </row>
    <row r="123" spans="1:19" s="9" customFormat="1" ht="16.5" customHeight="1">
      <c r="A123" s="9" t="s">
        <v>45</v>
      </c>
      <c r="B123" s="51"/>
      <c r="C123" s="51"/>
      <c r="D123" s="51"/>
      <c r="E123" s="54"/>
      <c r="F123" s="48"/>
      <c r="G123" s="48"/>
      <c r="H123" s="23" t="s">
        <v>10</v>
      </c>
      <c r="I123" s="11">
        <v>5600000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f>500000*100%</f>
        <v>500000</v>
      </c>
      <c r="P123" s="11">
        <v>6200000</v>
      </c>
      <c r="Q123" s="11">
        <v>3100000</v>
      </c>
      <c r="R123" s="12">
        <f>SUM(K123:Q123)</f>
        <v>9800000</v>
      </c>
      <c r="S123" s="12">
        <f>I123-J123-R123</f>
        <v>-4200000</v>
      </c>
    </row>
    <row r="124" spans="1:19" s="9" customFormat="1" ht="16.5" customHeight="1">
      <c r="A124" s="9" t="s">
        <v>45</v>
      </c>
      <c r="B124" s="51"/>
      <c r="C124" s="51"/>
      <c r="D124" s="51"/>
      <c r="E124" s="54"/>
      <c r="F124" s="48"/>
      <c r="G124" s="48"/>
      <c r="H124" s="3" t="s">
        <v>46</v>
      </c>
      <c r="I124" s="11">
        <v>8400000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/>
      <c r="P124" s="11">
        <f>500000*60%</f>
        <v>300000</v>
      </c>
      <c r="Q124" s="11">
        <f>6500000*60%</f>
        <v>3900000</v>
      </c>
      <c r="R124" s="12">
        <f>SUM(K124:Q124)</f>
        <v>4200000</v>
      </c>
      <c r="S124" s="12">
        <f>I124-J124-R124</f>
        <v>4200000</v>
      </c>
    </row>
    <row r="125" spans="1:19" s="9" customFormat="1" ht="16.5" customHeight="1">
      <c r="A125" s="9" t="s">
        <v>45</v>
      </c>
      <c r="B125" s="52"/>
      <c r="C125" s="52"/>
      <c r="D125" s="52"/>
      <c r="E125" s="61"/>
      <c r="F125" s="49"/>
      <c r="G125" s="49"/>
      <c r="H125" s="3" t="s">
        <v>11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2">
        <f>SUM(K125:Q125)</f>
        <v>0</v>
      </c>
      <c r="S125" s="12">
        <f>I125-J125-R125</f>
        <v>0</v>
      </c>
    </row>
    <row r="126" spans="1:19" s="9" customFormat="1" ht="16.5" customHeight="1">
      <c r="A126" s="9" t="s">
        <v>45</v>
      </c>
      <c r="B126" s="50">
        <v>69</v>
      </c>
      <c r="C126" s="50">
        <v>29</v>
      </c>
      <c r="D126" s="50">
        <v>28</v>
      </c>
      <c r="E126" s="53" t="s">
        <v>29</v>
      </c>
      <c r="F126" s="47">
        <v>2011</v>
      </c>
      <c r="G126" s="47">
        <v>2013</v>
      </c>
      <c r="H126" s="23" t="s">
        <v>8</v>
      </c>
      <c r="I126" s="10">
        <f>SUBTOTAL(9,I127:I129)</f>
        <v>2600000</v>
      </c>
      <c r="J126" s="10">
        <f>SUBTOTAL(9,J127:J129)</f>
        <v>0</v>
      </c>
      <c r="K126" s="10">
        <f>SUBTOTAL(9,K127:K129)</f>
        <v>0</v>
      </c>
      <c r="L126" s="40">
        <f aca="true" t="shared" si="33" ref="L126:S126">SUBTOTAL(9,L127:L129)</f>
        <v>0</v>
      </c>
      <c r="M126" s="10">
        <f t="shared" si="33"/>
        <v>0</v>
      </c>
      <c r="N126" s="10">
        <f t="shared" si="33"/>
        <v>0</v>
      </c>
      <c r="O126" s="10">
        <f t="shared" si="33"/>
        <v>100000</v>
      </c>
      <c r="P126" s="10">
        <f t="shared" si="33"/>
        <v>1200000</v>
      </c>
      <c r="Q126" s="10">
        <f t="shared" si="33"/>
        <v>1300000</v>
      </c>
      <c r="R126" s="10">
        <f t="shared" si="33"/>
        <v>2600000</v>
      </c>
      <c r="S126" s="10">
        <f t="shared" si="33"/>
        <v>0</v>
      </c>
    </row>
    <row r="127" spans="1:19" s="9" customFormat="1" ht="16.5" customHeight="1">
      <c r="A127" s="9" t="s">
        <v>45</v>
      </c>
      <c r="B127" s="51"/>
      <c r="C127" s="51"/>
      <c r="D127" s="51"/>
      <c r="E127" s="54"/>
      <c r="F127" s="48"/>
      <c r="G127" s="48"/>
      <c r="H127" s="23" t="s">
        <v>10</v>
      </c>
      <c r="I127" s="11">
        <v>1040000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f>100000*100%</f>
        <v>100000</v>
      </c>
      <c r="P127" s="11">
        <v>1140000</v>
      </c>
      <c r="Q127" s="11">
        <v>580000</v>
      </c>
      <c r="R127" s="12">
        <f>SUM(K127:Q127)</f>
        <v>1820000</v>
      </c>
      <c r="S127" s="12">
        <f>I127-J127-R127</f>
        <v>-780000</v>
      </c>
    </row>
    <row r="128" spans="1:19" s="9" customFormat="1" ht="16.5" customHeight="1">
      <c r="A128" s="9" t="s">
        <v>45</v>
      </c>
      <c r="B128" s="51"/>
      <c r="C128" s="51"/>
      <c r="D128" s="51"/>
      <c r="E128" s="54"/>
      <c r="F128" s="48"/>
      <c r="G128" s="48"/>
      <c r="H128" s="3" t="s">
        <v>46</v>
      </c>
      <c r="I128" s="11">
        <v>1560000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/>
      <c r="P128" s="11">
        <f>100000*60%</f>
        <v>60000</v>
      </c>
      <c r="Q128" s="11">
        <f>1200000*60%</f>
        <v>720000</v>
      </c>
      <c r="R128" s="12">
        <f>SUM(K128:Q128)</f>
        <v>780000</v>
      </c>
      <c r="S128" s="12">
        <f>I128-J128-R128</f>
        <v>780000</v>
      </c>
    </row>
    <row r="129" spans="1:19" s="9" customFormat="1" ht="16.5" customHeight="1">
      <c r="A129" s="9" t="s">
        <v>45</v>
      </c>
      <c r="B129" s="52"/>
      <c r="C129" s="52"/>
      <c r="D129" s="52"/>
      <c r="E129" s="61"/>
      <c r="F129" s="49"/>
      <c r="G129" s="49"/>
      <c r="H129" s="3" t="s">
        <v>11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2">
        <f>SUM(K129:Q129)</f>
        <v>0</v>
      </c>
      <c r="S129" s="12">
        <f>I129-J129-R129</f>
        <v>0</v>
      </c>
    </row>
    <row r="130" spans="1:19" s="9" customFormat="1" ht="16.5" customHeight="1">
      <c r="A130" s="9" t="s">
        <v>45</v>
      </c>
      <c r="B130" s="50">
        <v>72</v>
      </c>
      <c r="C130" s="50">
        <v>30</v>
      </c>
      <c r="D130" s="50">
        <v>29</v>
      </c>
      <c r="E130" s="53" t="s">
        <v>30</v>
      </c>
      <c r="F130" s="47">
        <v>2012</v>
      </c>
      <c r="G130" s="47">
        <v>2012</v>
      </c>
      <c r="H130" s="23" t="s">
        <v>8</v>
      </c>
      <c r="I130" s="10">
        <f>SUBTOTAL(9,I131:I133)</f>
        <v>300000</v>
      </c>
      <c r="J130" s="10">
        <f>SUBTOTAL(9,J131:J133)</f>
        <v>0</v>
      </c>
      <c r="K130" s="10">
        <f aca="true" t="shared" si="34" ref="K130:S130">SUBTOTAL(9,K131:K133)</f>
        <v>0</v>
      </c>
      <c r="L130" s="40">
        <f t="shared" si="34"/>
        <v>0</v>
      </c>
      <c r="M130" s="10">
        <f t="shared" si="34"/>
        <v>0</v>
      </c>
      <c r="N130" s="10">
        <f t="shared" si="34"/>
        <v>0</v>
      </c>
      <c r="O130" s="10">
        <f t="shared" si="34"/>
        <v>0</v>
      </c>
      <c r="P130" s="10">
        <f t="shared" si="34"/>
        <v>300000</v>
      </c>
      <c r="Q130" s="10">
        <f t="shared" si="34"/>
        <v>0</v>
      </c>
      <c r="R130" s="10">
        <f t="shared" si="34"/>
        <v>300000</v>
      </c>
      <c r="S130" s="10">
        <f t="shared" si="34"/>
        <v>0</v>
      </c>
    </row>
    <row r="131" spans="1:19" s="9" customFormat="1" ht="16.5" customHeight="1">
      <c r="A131" s="9" t="s">
        <v>45</v>
      </c>
      <c r="B131" s="51"/>
      <c r="C131" s="51"/>
      <c r="D131" s="51"/>
      <c r="E131" s="54"/>
      <c r="F131" s="48"/>
      <c r="G131" s="48"/>
      <c r="H131" s="23" t="s">
        <v>10</v>
      </c>
      <c r="I131" s="11">
        <v>300000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300000</v>
      </c>
      <c r="Q131" s="11">
        <v>0</v>
      </c>
      <c r="R131" s="12">
        <f>SUM(K131:Q131)</f>
        <v>300000</v>
      </c>
      <c r="S131" s="12">
        <f>I131-J131-R131</f>
        <v>0</v>
      </c>
    </row>
    <row r="132" spans="1:19" s="9" customFormat="1" ht="16.5" customHeight="1">
      <c r="A132" s="9" t="s">
        <v>45</v>
      </c>
      <c r="B132" s="51"/>
      <c r="C132" s="51"/>
      <c r="D132" s="51"/>
      <c r="E132" s="54"/>
      <c r="F132" s="48"/>
      <c r="G132" s="48"/>
      <c r="H132" s="3" t="s">
        <v>46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2">
        <f>SUM(K132:Q132)</f>
        <v>0</v>
      </c>
      <c r="S132" s="12">
        <f>I132-J132-R132</f>
        <v>0</v>
      </c>
    </row>
    <row r="133" spans="1:19" s="9" customFormat="1" ht="16.5" customHeight="1">
      <c r="A133" s="9" t="s">
        <v>45</v>
      </c>
      <c r="B133" s="52"/>
      <c r="C133" s="52"/>
      <c r="D133" s="52"/>
      <c r="E133" s="61"/>
      <c r="F133" s="49"/>
      <c r="G133" s="49"/>
      <c r="H133" s="3" t="s">
        <v>11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2">
        <f>SUM(K133:Q133)</f>
        <v>0</v>
      </c>
      <c r="S133" s="12">
        <f>I133-J133-R133</f>
        <v>0</v>
      </c>
    </row>
    <row r="134" spans="1:19" s="9" customFormat="1" ht="16.5" customHeight="1">
      <c r="A134" s="9" t="s">
        <v>45</v>
      </c>
      <c r="B134" s="50">
        <v>75</v>
      </c>
      <c r="C134" s="50">
        <v>31</v>
      </c>
      <c r="D134" s="50">
        <v>30</v>
      </c>
      <c r="E134" s="53" t="s">
        <v>32</v>
      </c>
      <c r="F134" s="47">
        <v>2012</v>
      </c>
      <c r="G134" s="47">
        <v>2013</v>
      </c>
      <c r="H134" s="23" t="s">
        <v>8</v>
      </c>
      <c r="I134" s="10">
        <f>SUBTOTAL(9,I135:I137)</f>
        <v>350000</v>
      </c>
      <c r="J134" s="10">
        <f>SUBTOTAL(9,J135:J137)</f>
        <v>0</v>
      </c>
      <c r="K134" s="10">
        <f aca="true" t="shared" si="35" ref="K134:S134">SUBTOTAL(9,K135:K137)</f>
        <v>0</v>
      </c>
      <c r="L134" s="40">
        <f t="shared" si="35"/>
        <v>0</v>
      </c>
      <c r="M134" s="10">
        <f t="shared" si="35"/>
        <v>0</v>
      </c>
      <c r="N134" s="10">
        <f t="shared" si="35"/>
        <v>0</v>
      </c>
      <c r="O134" s="10">
        <f t="shared" si="35"/>
        <v>0</v>
      </c>
      <c r="P134" s="10">
        <f t="shared" si="35"/>
        <v>50000</v>
      </c>
      <c r="Q134" s="10">
        <f t="shared" si="35"/>
        <v>300000</v>
      </c>
      <c r="R134" s="10">
        <f t="shared" si="35"/>
        <v>350000</v>
      </c>
      <c r="S134" s="10">
        <f t="shared" si="35"/>
        <v>0</v>
      </c>
    </row>
    <row r="135" spans="1:19" s="9" customFormat="1" ht="16.5" customHeight="1">
      <c r="A135" s="9" t="s">
        <v>45</v>
      </c>
      <c r="B135" s="51"/>
      <c r="C135" s="51"/>
      <c r="D135" s="51"/>
      <c r="E135" s="54"/>
      <c r="F135" s="48"/>
      <c r="G135" s="48"/>
      <c r="H135" s="23" t="s">
        <v>10</v>
      </c>
      <c r="I135" s="11">
        <v>350000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50000</v>
      </c>
      <c r="Q135" s="11">
        <v>300000</v>
      </c>
      <c r="R135" s="12">
        <f>SUM(K135:Q135)</f>
        <v>350000</v>
      </c>
      <c r="S135" s="12">
        <f>I135-J135-R135</f>
        <v>0</v>
      </c>
    </row>
    <row r="136" spans="1:19" s="9" customFormat="1" ht="16.5" customHeight="1">
      <c r="A136" s="9" t="s">
        <v>45</v>
      </c>
      <c r="B136" s="51"/>
      <c r="C136" s="51"/>
      <c r="D136" s="51"/>
      <c r="E136" s="54"/>
      <c r="F136" s="48"/>
      <c r="G136" s="48"/>
      <c r="H136" s="3" t="s">
        <v>46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2">
        <f>SUM(K136:Q136)</f>
        <v>0</v>
      </c>
      <c r="S136" s="12">
        <f>I136-J136-R136</f>
        <v>0</v>
      </c>
    </row>
    <row r="137" spans="1:19" s="9" customFormat="1" ht="16.5" customHeight="1">
      <c r="A137" s="9" t="s">
        <v>45</v>
      </c>
      <c r="B137" s="52"/>
      <c r="C137" s="52"/>
      <c r="D137" s="52"/>
      <c r="E137" s="61"/>
      <c r="F137" s="49"/>
      <c r="G137" s="49"/>
      <c r="H137" s="3" t="s">
        <v>11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2">
        <f>SUM(K137:Q137)</f>
        <v>0</v>
      </c>
      <c r="S137" s="12">
        <f>I137-J137-R137</f>
        <v>0</v>
      </c>
    </row>
    <row r="138" spans="1:19" s="9" customFormat="1" ht="16.5" customHeight="1">
      <c r="A138" s="9" t="s">
        <v>45</v>
      </c>
      <c r="B138" s="50">
        <v>76</v>
      </c>
      <c r="C138" s="50">
        <v>32</v>
      </c>
      <c r="D138" s="50">
        <v>31</v>
      </c>
      <c r="E138" s="53" t="s">
        <v>33</v>
      </c>
      <c r="F138" s="47">
        <v>2012</v>
      </c>
      <c r="G138" s="47">
        <v>2013</v>
      </c>
      <c r="H138" s="23" t="s">
        <v>8</v>
      </c>
      <c r="I138" s="10">
        <f>SUBTOTAL(9,I139:I141)</f>
        <v>2000000</v>
      </c>
      <c r="J138" s="10">
        <f>SUBTOTAL(9,J139:J141)</f>
        <v>0</v>
      </c>
      <c r="K138" s="10">
        <f aca="true" t="shared" si="36" ref="K138:S138">SUBTOTAL(9,K139:K141)</f>
        <v>0</v>
      </c>
      <c r="L138" s="40">
        <f t="shared" si="36"/>
        <v>0</v>
      </c>
      <c r="M138" s="10">
        <f t="shared" si="36"/>
        <v>0</v>
      </c>
      <c r="N138" s="10">
        <f t="shared" si="36"/>
        <v>0</v>
      </c>
      <c r="O138" s="10">
        <f t="shared" si="36"/>
        <v>0</v>
      </c>
      <c r="P138" s="10">
        <f t="shared" si="36"/>
        <v>50000</v>
      </c>
      <c r="Q138" s="10">
        <f t="shared" si="36"/>
        <v>1950000</v>
      </c>
      <c r="R138" s="10">
        <f t="shared" si="36"/>
        <v>2000000</v>
      </c>
      <c r="S138" s="10">
        <f t="shared" si="36"/>
        <v>0</v>
      </c>
    </row>
    <row r="139" spans="1:19" s="9" customFormat="1" ht="16.5" customHeight="1">
      <c r="A139" s="9" t="s">
        <v>45</v>
      </c>
      <c r="B139" s="51"/>
      <c r="C139" s="51"/>
      <c r="D139" s="51"/>
      <c r="E139" s="54"/>
      <c r="F139" s="48"/>
      <c r="G139" s="48"/>
      <c r="H139" s="23" t="s">
        <v>10</v>
      </c>
      <c r="I139" s="11">
        <v>2000000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50000</v>
      </c>
      <c r="Q139" s="11">
        <v>1950000</v>
      </c>
      <c r="R139" s="12">
        <f>SUM(K139:Q139)</f>
        <v>2000000</v>
      </c>
      <c r="S139" s="12">
        <f>I139-J139-R139</f>
        <v>0</v>
      </c>
    </row>
    <row r="140" spans="1:19" s="9" customFormat="1" ht="16.5" customHeight="1">
      <c r="A140" s="9" t="s">
        <v>45</v>
      </c>
      <c r="B140" s="51"/>
      <c r="C140" s="51"/>
      <c r="D140" s="51"/>
      <c r="E140" s="54"/>
      <c r="F140" s="48"/>
      <c r="G140" s="48"/>
      <c r="H140" s="3" t="s">
        <v>46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2">
        <f>SUM(K140:Q140)</f>
        <v>0</v>
      </c>
      <c r="S140" s="12">
        <f>I140-J140-R140</f>
        <v>0</v>
      </c>
    </row>
    <row r="141" spans="1:19" s="9" customFormat="1" ht="16.5" customHeight="1">
      <c r="A141" s="9" t="s">
        <v>45</v>
      </c>
      <c r="B141" s="52"/>
      <c r="C141" s="52"/>
      <c r="D141" s="52"/>
      <c r="E141" s="61"/>
      <c r="F141" s="49"/>
      <c r="G141" s="49"/>
      <c r="H141" s="3" t="s">
        <v>11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2">
        <f>SUM(K141:Q141)</f>
        <v>0</v>
      </c>
      <c r="S141" s="12">
        <f>I141-J141-R141</f>
        <v>0</v>
      </c>
    </row>
    <row r="142" spans="1:19" s="9" customFormat="1" ht="16.5" customHeight="1">
      <c r="A142" s="9" t="s">
        <v>45</v>
      </c>
      <c r="B142" s="50">
        <v>77</v>
      </c>
      <c r="C142" s="50">
        <v>33</v>
      </c>
      <c r="D142" s="50">
        <v>32</v>
      </c>
      <c r="E142" s="57" t="s">
        <v>109</v>
      </c>
      <c r="F142" s="47">
        <v>2007</v>
      </c>
      <c r="G142" s="47">
        <v>2013</v>
      </c>
      <c r="H142" s="23" t="s">
        <v>8</v>
      </c>
      <c r="I142" s="10">
        <f>SUBTOTAL(9,I143:I145)</f>
        <v>1880000</v>
      </c>
      <c r="J142" s="10">
        <f>SUBTOTAL(9,J143:J145)</f>
        <v>0</v>
      </c>
      <c r="K142" s="10">
        <f aca="true" t="shared" si="37" ref="K142:S142">SUBTOTAL(9,K143:K145)</f>
        <v>30000</v>
      </c>
      <c r="L142" s="40">
        <f t="shared" si="37"/>
        <v>150000</v>
      </c>
      <c r="M142" s="10">
        <f t="shared" si="37"/>
        <v>0</v>
      </c>
      <c r="N142" s="10">
        <f t="shared" si="37"/>
        <v>0</v>
      </c>
      <c r="O142" s="10">
        <f t="shared" si="37"/>
        <v>0</v>
      </c>
      <c r="P142" s="10">
        <f t="shared" si="37"/>
        <v>200000</v>
      </c>
      <c r="Q142" s="10">
        <f t="shared" si="37"/>
        <v>1500000</v>
      </c>
      <c r="R142" s="10">
        <f t="shared" si="37"/>
        <v>1880000</v>
      </c>
      <c r="S142" s="10">
        <f t="shared" si="37"/>
        <v>0</v>
      </c>
    </row>
    <row r="143" spans="1:19" s="9" customFormat="1" ht="16.5" customHeight="1">
      <c r="A143" s="9" t="s">
        <v>45</v>
      </c>
      <c r="B143" s="51"/>
      <c r="C143" s="51"/>
      <c r="D143" s="51"/>
      <c r="E143" s="45"/>
      <c r="F143" s="48"/>
      <c r="G143" s="48"/>
      <c r="H143" s="23" t="s">
        <v>10</v>
      </c>
      <c r="I143" s="11">
        <v>1880000</v>
      </c>
      <c r="J143" s="11">
        <v>0</v>
      </c>
      <c r="K143" s="11">
        <v>30000</v>
      </c>
      <c r="L143" s="41">
        <v>150000</v>
      </c>
      <c r="M143" s="11">
        <v>0</v>
      </c>
      <c r="N143" s="11">
        <v>0</v>
      </c>
      <c r="O143" s="11">
        <v>0</v>
      </c>
      <c r="P143" s="11">
        <v>200000</v>
      </c>
      <c r="Q143" s="11">
        <v>1500000</v>
      </c>
      <c r="R143" s="12">
        <f>SUM(K143:Q143)</f>
        <v>1880000</v>
      </c>
      <c r="S143" s="12">
        <f>I143-J143-R143</f>
        <v>0</v>
      </c>
    </row>
    <row r="144" spans="1:19" s="9" customFormat="1" ht="16.5" customHeight="1">
      <c r="A144" s="9" t="s">
        <v>45</v>
      </c>
      <c r="B144" s="51"/>
      <c r="C144" s="51"/>
      <c r="D144" s="51"/>
      <c r="E144" s="45"/>
      <c r="F144" s="48"/>
      <c r="G144" s="48"/>
      <c r="H144" s="3" t="s">
        <v>46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2">
        <f>SUM(K144:Q144)</f>
        <v>0</v>
      </c>
      <c r="S144" s="12">
        <f>I144-J144-R144</f>
        <v>0</v>
      </c>
    </row>
    <row r="145" spans="1:19" s="9" customFormat="1" ht="16.5" customHeight="1">
      <c r="A145" s="9" t="s">
        <v>45</v>
      </c>
      <c r="B145" s="52"/>
      <c r="C145" s="52"/>
      <c r="D145" s="52"/>
      <c r="E145" s="46"/>
      <c r="F145" s="49"/>
      <c r="G145" s="49"/>
      <c r="H145" s="3" t="s">
        <v>11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2">
        <f>SUM(K145:Q145)</f>
        <v>0</v>
      </c>
      <c r="S145" s="12">
        <f>I145-J145-R145</f>
        <v>0</v>
      </c>
    </row>
    <row r="146" spans="1:19" s="9" customFormat="1" ht="16.5" customHeight="1">
      <c r="A146" s="9" t="s">
        <v>45</v>
      </c>
      <c r="B146" s="50">
        <v>78</v>
      </c>
      <c r="C146" s="50">
        <v>34</v>
      </c>
      <c r="D146" s="50">
        <v>33</v>
      </c>
      <c r="E146" s="53" t="s">
        <v>34</v>
      </c>
      <c r="F146" s="47">
        <v>2012</v>
      </c>
      <c r="G146" s="47">
        <v>2013</v>
      </c>
      <c r="H146" s="23" t="s">
        <v>8</v>
      </c>
      <c r="I146" s="10">
        <f>SUBTOTAL(9,I147:I149)</f>
        <v>800000</v>
      </c>
      <c r="J146" s="10">
        <f>SUBTOTAL(9,J147:J149)</f>
        <v>0</v>
      </c>
      <c r="K146" s="10">
        <f aca="true" t="shared" si="38" ref="K146:S146">SUBTOTAL(9,K147:K149)</f>
        <v>0</v>
      </c>
      <c r="L146" s="40">
        <f t="shared" si="38"/>
        <v>0</v>
      </c>
      <c r="M146" s="10">
        <f t="shared" si="38"/>
        <v>0</v>
      </c>
      <c r="N146" s="10">
        <f t="shared" si="38"/>
        <v>0</v>
      </c>
      <c r="O146" s="10">
        <f t="shared" si="38"/>
        <v>0</v>
      </c>
      <c r="P146" s="10">
        <f t="shared" si="38"/>
        <v>400000</v>
      </c>
      <c r="Q146" s="10">
        <f t="shared" si="38"/>
        <v>400000</v>
      </c>
      <c r="R146" s="10">
        <f t="shared" si="38"/>
        <v>800000</v>
      </c>
      <c r="S146" s="10">
        <f t="shared" si="38"/>
        <v>0</v>
      </c>
    </row>
    <row r="147" spans="1:19" s="9" customFormat="1" ht="16.5" customHeight="1">
      <c r="A147" s="9" t="s">
        <v>45</v>
      </c>
      <c r="B147" s="51"/>
      <c r="C147" s="51"/>
      <c r="D147" s="51"/>
      <c r="E147" s="54"/>
      <c r="F147" s="48"/>
      <c r="G147" s="48"/>
      <c r="H147" s="23" t="s">
        <v>10</v>
      </c>
      <c r="I147" s="11">
        <v>800000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400000</v>
      </c>
      <c r="Q147" s="11">
        <v>400000</v>
      </c>
      <c r="R147" s="12">
        <f>SUM(K147:Q147)</f>
        <v>800000</v>
      </c>
      <c r="S147" s="12">
        <f>I147-J147-R147</f>
        <v>0</v>
      </c>
    </row>
    <row r="148" spans="1:19" s="9" customFormat="1" ht="16.5" customHeight="1">
      <c r="A148" s="9" t="s">
        <v>45</v>
      </c>
      <c r="B148" s="51"/>
      <c r="C148" s="51"/>
      <c r="D148" s="51"/>
      <c r="E148" s="54"/>
      <c r="F148" s="48"/>
      <c r="G148" s="48"/>
      <c r="H148" s="3" t="s">
        <v>46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2">
        <f>SUM(K148:Q148)</f>
        <v>0</v>
      </c>
      <c r="S148" s="12">
        <f>I148-J148-R148</f>
        <v>0</v>
      </c>
    </row>
    <row r="149" spans="1:19" s="9" customFormat="1" ht="16.5" customHeight="1">
      <c r="A149" s="9" t="s">
        <v>45</v>
      </c>
      <c r="B149" s="52"/>
      <c r="C149" s="52"/>
      <c r="D149" s="52"/>
      <c r="E149" s="61"/>
      <c r="F149" s="49"/>
      <c r="G149" s="49"/>
      <c r="H149" s="3" t="s">
        <v>11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2">
        <f>SUM(K149:Q149)</f>
        <v>0</v>
      </c>
      <c r="S149" s="12">
        <f>I149-J149-R149</f>
        <v>0</v>
      </c>
    </row>
    <row r="150" spans="1:19" s="9" customFormat="1" ht="16.5" customHeight="1">
      <c r="A150" s="9" t="s">
        <v>45</v>
      </c>
      <c r="B150" s="50">
        <v>79</v>
      </c>
      <c r="C150" s="50">
        <v>35</v>
      </c>
      <c r="D150" s="50">
        <v>34</v>
      </c>
      <c r="E150" s="53" t="s">
        <v>35</v>
      </c>
      <c r="F150" s="47">
        <v>2013</v>
      </c>
      <c r="G150" s="47" t="s">
        <v>91</v>
      </c>
      <c r="H150" s="23" t="s">
        <v>8</v>
      </c>
      <c r="I150" s="10">
        <f>SUBTOTAL(9,I151:I153)</f>
        <v>600000</v>
      </c>
      <c r="J150" s="10">
        <f>SUBTOTAL(9,J151:J153)</f>
        <v>0</v>
      </c>
      <c r="K150" s="10">
        <f aca="true" t="shared" si="39" ref="K150:S150">SUBTOTAL(9,K151:K153)</f>
        <v>0</v>
      </c>
      <c r="L150" s="40">
        <f t="shared" si="39"/>
        <v>0</v>
      </c>
      <c r="M150" s="10">
        <f t="shared" si="39"/>
        <v>0</v>
      </c>
      <c r="N150" s="10">
        <f t="shared" si="39"/>
        <v>0</v>
      </c>
      <c r="O150" s="10">
        <f t="shared" si="39"/>
        <v>0</v>
      </c>
      <c r="P150" s="10">
        <f t="shared" si="39"/>
        <v>0</v>
      </c>
      <c r="Q150" s="10">
        <f t="shared" si="39"/>
        <v>300000</v>
      </c>
      <c r="R150" s="10">
        <f t="shared" si="39"/>
        <v>300000</v>
      </c>
      <c r="S150" s="10">
        <f t="shared" si="39"/>
        <v>300000</v>
      </c>
    </row>
    <row r="151" spans="1:19" s="9" customFormat="1" ht="16.5" customHeight="1">
      <c r="A151" s="9" t="s">
        <v>45</v>
      </c>
      <c r="B151" s="51"/>
      <c r="C151" s="51"/>
      <c r="D151" s="51"/>
      <c r="E151" s="54"/>
      <c r="F151" s="48"/>
      <c r="G151" s="48"/>
      <c r="H151" s="23" t="s">
        <v>10</v>
      </c>
      <c r="I151" s="11">
        <v>600000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300000</v>
      </c>
      <c r="R151" s="12">
        <f>SUM(K151:Q151)</f>
        <v>300000</v>
      </c>
      <c r="S151" s="12">
        <f>I151-J151-R151</f>
        <v>300000</v>
      </c>
    </row>
    <row r="152" spans="1:19" s="9" customFormat="1" ht="16.5" customHeight="1">
      <c r="A152" s="9" t="s">
        <v>45</v>
      </c>
      <c r="B152" s="51"/>
      <c r="C152" s="51"/>
      <c r="D152" s="51"/>
      <c r="E152" s="54"/>
      <c r="F152" s="48"/>
      <c r="G152" s="48"/>
      <c r="H152" s="3" t="s">
        <v>46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2">
        <f>SUM(K152:Q152)</f>
        <v>0</v>
      </c>
      <c r="S152" s="12">
        <f>I152-J152-R152</f>
        <v>0</v>
      </c>
    </row>
    <row r="153" spans="1:19" s="9" customFormat="1" ht="16.5" customHeight="1">
      <c r="A153" s="9" t="s">
        <v>45</v>
      </c>
      <c r="B153" s="52"/>
      <c r="C153" s="52"/>
      <c r="D153" s="52"/>
      <c r="E153" s="61"/>
      <c r="F153" s="49"/>
      <c r="G153" s="49"/>
      <c r="H153" s="3" t="s">
        <v>11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2">
        <f>SUM(K153:Q153)</f>
        <v>0</v>
      </c>
      <c r="S153" s="12">
        <f>I153-J153-R153</f>
        <v>0</v>
      </c>
    </row>
    <row r="154" spans="1:19" s="9" customFormat="1" ht="16.5" customHeight="1">
      <c r="A154" s="9" t="s">
        <v>45</v>
      </c>
      <c r="B154" s="50">
        <v>80</v>
      </c>
      <c r="C154" s="50">
        <v>36</v>
      </c>
      <c r="D154" s="50">
        <v>35</v>
      </c>
      <c r="E154" s="53" t="s">
        <v>36</v>
      </c>
      <c r="F154" s="47">
        <v>2013</v>
      </c>
      <c r="G154" s="47" t="s">
        <v>91</v>
      </c>
      <c r="H154" s="23" t="s">
        <v>8</v>
      </c>
      <c r="I154" s="10">
        <f>SUBTOTAL(9,I155:I157)</f>
        <v>4510000</v>
      </c>
      <c r="J154" s="10">
        <f>SUBTOTAL(9,J155:J157)</f>
        <v>0</v>
      </c>
      <c r="K154" s="10">
        <f aca="true" t="shared" si="40" ref="K154:S154">SUBTOTAL(9,K155:K157)</f>
        <v>0</v>
      </c>
      <c r="L154" s="40">
        <f t="shared" si="40"/>
        <v>0</v>
      </c>
      <c r="M154" s="10">
        <f t="shared" si="40"/>
        <v>0</v>
      </c>
      <c r="N154" s="10">
        <f t="shared" si="40"/>
        <v>0</v>
      </c>
      <c r="O154" s="10">
        <f t="shared" si="40"/>
        <v>0</v>
      </c>
      <c r="P154" s="10">
        <f t="shared" si="40"/>
        <v>0</v>
      </c>
      <c r="Q154" s="10">
        <f t="shared" si="40"/>
        <v>100000</v>
      </c>
      <c r="R154" s="10">
        <f t="shared" si="40"/>
        <v>100000</v>
      </c>
      <c r="S154" s="10">
        <f t="shared" si="40"/>
        <v>4410000</v>
      </c>
    </row>
    <row r="155" spans="1:19" s="9" customFormat="1" ht="16.5" customHeight="1">
      <c r="A155" s="9" t="s">
        <v>45</v>
      </c>
      <c r="B155" s="51"/>
      <c r="C155" s="51"/>
      <c r="D155" s="51"/>
      <c r="E155" s="54"/>
      <c r="F155" s="48"/>
      <c r="G155" s="48"/>
      <c r="H155" s="23" t="s">
        <v>10</v>
      </c>
      <c r="I155" s="11">
        <v>4510000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100000</v>
      </c>
      <c r="R155" s="12">
        <f>SUM(K155:Q155)</f>
        <v>100000</v>
      </c>
      <c r="S155" s="12">
        <f>I155-J155-R155</f>
        <v>4410000</v>
      </c>
    </row>
    <row r="156" spans="1:19" s="9" customFormat="1" ht="16.5" customHeight="1">
      <c r="A156" s="9" t="s">
        <v>45</v>
      </c>
      <c r="B156" s="51"/>
      <c r="C156" s="51"/>
      <c r="D156" s="51"/>
      <c r="E156" s="54"/>
      <c r="F156" s="48"/>
      <c r="G156" s="48"/>
      <c r="H156" s="3" t="s">
        <v>46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2">
        <f>SUM(K156:Q156)</f>
        <v>0</v>
      </c>
      <c r="S156" s="12">
        <f>I156-J156-R156</f>
        <v>0</v>
      </c>
    </row>
    <row r="157" spans="1:19" s="9" customFormat="1" ht="16.5" customHeight="1">
      <c r="A157" s="9" t="s">
        <v>45</v>
      </c>
      <c r="B157" s="52"/>
      <c r="C157" s="52"/>
      <c r="D157" s="52"/>
      <c r="E157" s="61"/>
      <c r="F157" s="49"/>
      <c r="G157" s="49"/>
      <c r="H157" s="3" t="s">
        <v>11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2">
        <f>SUM(K157:Q157)</f>
        <v>0</v>
      </c>
      <c r="S157" s="12">
        <f>I157-J157-R157</f>
        <v>0</v>
      </c>
    </row>
    <row r="158" spans="1:19" s="9" customFormat="1" ht="16.5" customHeight="1">
      <c r="A158" s="9" t="s">
        <v>45</v>
      </c>
      <c r="B158" s="50">
        <v>81</v>
      </c>
      <c r="C158" s="50">
        <v>37</v>
      </c>
      <c r="D158" s="50">
        <v>36</v>
      </c>
      <c r="E158" s="53" t="s">
        <v>37</v>
      </c>
      <c r="F158" s="47">
        <v>2013</v>
      </c>
      <c r="G158" s="47" t="s">
        <v>91</v>
      </c>
      <c r="H158" s="23" t="s">
        <v>8</v>
      </c>
      <c r="I158" s="10">
        <f>SUBTOTAL(9,I159:I161)</f>
        <v>4145000</v>
      </c>
      <c r="J158" s="10">
        <f>SUBTOTAL(9,J159:J161)</f>
        <v>0</v>
      </c>
      <c r="K158" s="10">
        <f aca="true" t="shared" si="41" ref="K158:S158">SUBTOTAL(9,K159:K161)</f>
        <v>0</v>
      </c>
      <c r="L158" s="40">
        <f t="shared" si="41"/>
        <v>0</v>
      </c>
      <c r="M158" s="10">
        <f t="shared" si="41"/>
        <v>0</v>
      </c>
      <c r="N158" s="10">
        <f t="shared" si="41"/>
        <v>0</v>
      </c>
      <c r="O158" s="10">
        <f t="shared" si="41"/>
        <v>0</v>
      </c>
      <c r="P158" s="10">
        <f t="shared" si="41"/>
        <v>0</v>
      </c>
      <c r="Q158" s="10">
        <f t="shared" si="41"/>
        <v>350000</v>
      </c>
      <c r="R158" s="10">
        <f t="shared" si="41"/>
        <v>350000</v>
      </c>
      <c r="S158" s="10">
        <f t="shared" si="41"/>
        <v>3795000</v>
      </c>
    </row>
    <row r="159" spans="1:19" s="9" customFormat="1" ht="16.5" customHeight="1">
      <c r="A159" s="9" t="s">
        <v>45</v>
      </c>
      <c r="B159" s="51"/>
      <c r="C159" s="51"/>
      <c r="D159" s="51"/>
      <c r="E159" s="54"/>
      <c r="F159" s="48"/>
      <c r="G159" s="48"/>
      <c r="H159" s="23" t="s">
        <v>10</v>
      </c>
      <c r="I159" s="11">
        <v>4145000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350000</v>
      </c>
      <c r="R159" s="12">
        <f>SUM(K159:Q159)</f>
        <v>350000</v>
      </c>
      <c r="S159" s="12">
        <f>I159-J159-R159</f>
        <v>3795000</v>
      </c>
    </row>
    <row r="160" spans="1:19" s="9" customFormat="1" ht="16.5" customHeight="1">
      <c r="A160" s="9" t="s">
        <v>45</v>
      </c>
      <c r="B160" s="51"/>
      <c r="C160" s="51"/>
      <c r="D160" s="51"/>
      <c r="E160" s="54"/>
      <c r="F160" s="48"/>
      <c r="G160" s="48"/>
      <c r="H160" s="3" t="s">
        <v>46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2">
        <f>SUM(K160:Q160)</f>
        <v>0</v>
      </c>
      <c r="S160" s="12">
        <f>I160-J160-R160</f>
        <v>0</v>
      </c>
    </row>
    <row r="161" spans="1:19" s="9" customFormat="1" ht="16.5" customHeight="1">
      <c r="A161" s="9" t="s">
        <v>45</v>
      </c>
      <c r="B161" s="52"/>
      <c r="C161" s="52"/>
      <c r="D161" s="52"/>
      <c r="E161" s="61"/>
      <c r="F161" s="49"/>
      <c r="G161" s="49"/>
      <c r="H161" s="3" t="s">
        <v>11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2">
        <f>SUM(K161:Q161)</f>
        <v>0</v>
      </c>
      <c r="S161" s="12">
        <f>I161-J161-R161</f>
        <v>0</v>
      </c>
    </row>
    <row r="162" spans="1:19" s="9" customFormat="1" ht="16.5" customHeight="1">
      <c r="A162" s="9" t="s">
        <v>45</v>
      </c>
      <c r="B162" s="50">
        <v>82</v>
      </c>
      <c r="C162" s="50">
        <v>38</v>
      </c>
      <c r="D162" s="50">
        <v>37</v>
      </c>
      <c r="E162" s="53" t="s">
        <v>38</v>
      </c>
      <c r="F162" s="47">
        <v>2013</v>
      </c>
      <c r="G162" s="47">
        <v>2013</v>
      </c>
      <c r="H162" s="23" t="s">
        <v>8</v>
      </c>
      <c r="I162" s="10">
        <f>SUBTOTAL(9,I163:I165)</f>
        <v>300000</v>
      </c>
      <c r="J162" s="10">
        <f>SUBTOTAL(9,J163:J165)</f>
        <v>0</v>
      </c>
      <c r="K162" s="10">
        <f aca="true" t="shared" si="42" ref="K162:S162">SUBTOTAL(9,K163:K165)</f>
        <v>0</v>
      </c>
      <c r="L162" s="40">
        <f t="shared" si="42"/>
        <v>0</v>
      </c>
      <c r="M162" s="10">
        <f t="shared" si="42"/>
        <v>0</v>
      </c>
      <c r="N162" s="10">
        <f t="shared" si="42"/>
        <v>0</v>
      </c>
      <c r="O162" s="10">
        <f t="shared" si="42"/>
        <v>0</v>
      </c>
      <c r="P162" s="10">
        <f t="shared" si="42"/>
        <v>0</v>
      </c>
      <c r="Q162" s="10">
        <f t="shared" si="42"/>
        <v>300000</v>
      </c>
      <c r="R162" s="10">
        <f t="shared" si="42"/>
        <v>300000</v>
      </c>
      <c r="S162" s="10">
        <f t="shared" si="42"/>
        <v>0</v>
      </c>
    </row>
    <row r="163" spans="1:19" s="9" customFormat="1" ht="16.5" customHeight="1">
      <c r="A163" s="9" t="s">
        <v>45</v>
      </c>
      <c r="B163" s="51"/>
      <c r="C163" s="51"/>
      <c r="D163" s="51"/>
      <c r="E163" s="54"/>
      <c r="F163" s="48"/>
      <c r="G163" s="48"/>
      <c r="H163" s="23" t="s">
        <v>10</v>
      </c>
      <c r="I163" s="11">
        <v>300000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300000</v>
      </c>
      <c r="R163" s="12">
        <f>SUM(K163:Q163)</f>
        <v>300000</v>
      </c>
      <c r="S163" s="12">
        <f>I163-J163-R163</f>
        <v>0</v>
      </c>
    </row>
    <row r="164" spans="1:19" s="9" customFormat="1" ht="16.5" customHeight="1">
      <c r="A164" s="9" t="s">
        <v>45</v>
      </c>
      <c r="B164" s="51"/>
      <c r="C164" s="51"/>
      <c r="D164" s="51"/>
      <c r="E164" s="54"/>
      <c r="F164" s="48"/>
      <c r="G164" s="48"/>
      <c r="H164" s="3" t="s">
        <v>46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2">
        <f>SUM(K164:Q164)</f>
        <v>0</v>
      </c>
      <c r="S164" s="12">
        <f>I164-J164-R164</f>
        <v>0</v>
      </c>
    </row>
    <row r="165" spans="1:19" s="9" customFormat="1" ht="16.5" customHeight="1">
      <c r="A165" s="9" t="s">
        <v>45</v>
      </c>
      <c r="B165" s="52"/>
      <c r="C165" s="52"/>
      <c r="D165" s="52"/>
      <c r="E165" s="61"/>
      <c r="F165" s="49"/>
      <c r="G165" s="49"/>
      <c r="H165" s="3" t="s">
        <v>11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2">
        <f>SUM(K165:Q165)</f>
        <v>0</v>
      </c>
      <c r="S165" s="12">
        <f>I165-J165-R165</f>
        <v>0</v>
      </c>
    </row>
    <row r="166" spans="1:19" s="9" customFormat="1" ht="16.5" customHeight="1">
      <c r="A166" s="9" t="s">
        <v>45</v>
      </c>
      <c r="B166" s="50">
        <v>83</v>
      </c>
      <c r="C166" s="50">
        <v>39</v>
      </c>
      <c r="D166" s="50">
        <v>38</v>
      </c>
      <c r="E166" s="53" t="s">
        <v>39</v>
      </c>
      <c r="F166" s="47">
        <v>2013</v>
      </c>
      <c r="G166" s="47" t="s">
        <v>91</v>
      </c>
      <c r="H166" s="23" t="s">
        <v>8</v>
      </c>
      <c r="I166" s="10">
        <f>SUBTOTAL(9,I167:I169)</f>
        <v>4500000</v>
      </c>
      <c r="J166" s="10">
        <f>SUBTOTAL(9,J167:J169)</f>
        <v>0</v>
      </c>
      <c r="K166" s="10">
        <f aca="true" t="shared" si="43" ref="K166:S166">SUBTOTAL(9,K167:K169)</f>
        <v>0</v>
      </c>
      <c r="L166" s="40">
        <f t="shared" si="43"/>
        <v>0</v>
      </c>
      <c r="M166" s="10">
        <f t="shared" si="43"/>
        <v>0</v>
      </c>
      <c r="N166" s="10">
        <f t="shared" si="43"/>
        <v>0</v>
      </c>
      <c r="O166" s="10">
        <f t="shared" si="43"/>
        <v>0</v>
      </c>
      <c r="P166" s="10">
        <f t="shared" si="43"/>
        <v>0</v>
      </c>
      <c r="Q166" s="10">
        <f t="shared" si="43"/>
        <v>150000</v>
      </c>
      <c r="R166" s="10">
        <f t="shared" si="43"/>
        <v>150000</v>
      </c>
      <c r="S166" s="10">
        <f t="shared" si="43"/>
        <v>4350000</v>
      </c>
    </row>
    <row r="167" spans="1:19" s="9" customFormat="1" ht="16.5" customHeight="1">
      <c r="A167" s="9" t="s">
        <v>45</v>
      </c>
      <c r="B167" s="51"/>
      <c r="C167" s="51"/>
      <c r="D167" s="51"/>
      <c r="E167" s="54"/>
      <c r="F167" s="48"/>
      <c r="G167" s="48"/>
      <c r="H167" s="23" t="s">
        <v>10</v>
      </c>
      <c r="I167" s="11">
        <v>4500000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150000</v>
      </c>
      <c r="R167" s="12">
        <f>SUM(K167:Q167)</f>
        <v>150000</v>
      </c>
      <c r="S167" s="12">
        <f>I167-J167-R167</f>
        <v>4350000</v>
      </c>
    </row>
    <row r="168" spans="1:19" s="9" customFormat="1" ht="16.5" customHeight="1">
      <c r="A168" s="9" t="s">
        <v>45</v>
      </c>
      <c r="B168" s="51"/>
      <c r="C168" s="51"/>
      <c r="D168" s="51"/>
      <c r="E168" s="54"/>
      <c r="F168" s="48"/>
      <c r="G168" s="48"/>
      <c r="H168" s="3" t="s">
        <v>46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2">
        <f>SUM(K168:Q168)</f>
        <v>0</v>
      </c>
      <c r="S168" s="12">
        <f>I168-J168-R168</f>
        <v>0</v>
      </c>
    </row>
    <row r="169" spans="1:19" s="9" customFormat="1" ht="16.5" customHeight="1">
      <c r="A169" s="9" t="s">
        <v>45</v>
      </c>
      <c r="B169" s="52"/>
      <c r="C169" s="52"/>
      <c r="D169" s="52"/>
      <c r="E169" s="61"/>
      <c r="F169" s="49"/>
      <c r="G169" s="49"/>
      <c r="H169" s="3" t="s">
        <v>11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2">
        <f>SUM(K169:Q169)</f>
        <v>0</v>
      </c>
      <c r="S169" s="12">
        <f>I169-J169-R169</f>
        <v>0</v>
      </c>
    </row>
    <row r="170" spans="1:19" s="9" customFormat="1" ht="16.5" customHeight="1">
      <c r="A170" s="9" t="s">
        <v>45</v>
      </c>
      <c r="B170" s="50">
        <v>84</v>
      </c>
      <c r="C170" s="50">
        <v>40</v>
      </c>
      <c r="D170" s="50">
        <v>39</v>
      </c>
      <c r="E170" s="53" t="s">
        <v>40</v>
      </c>
      <c r="F170" s="47">
        <v>2013</v>
      </c>
      <c r="G170" s="47" t="s">
        <v>91</v>
      </c>
      <c r="H170" s="23" t="s">
        <v>8</v>
      </c>
      <c r="I170" s="10">
        <f>SUBTOTAL(9,I171:I173)</f>
        <v>850000</v>
      </c>
      <c r="J170" s="10">
        <f>SUBTOTAL(9,J171:J173)</f>
        <v>0</v>
      </c>
      <c r="K170" s="10">
        <f aca="true" t="shared" si="44" ref="K170:S170">SUBTOTAL(9,K171:K173)</f>
        <v>0</v>
      </c>
      <c r="L170" s="40">
        <f t="shared" si="44"/>
        <v>0</v>
      </c>
      <c r="M170" s="10">
        <f t="shared" si="44"/>
        <v>0</v>
      </c>
      <c r="N170" s="10">
        <f t="shared" si="44"/>
        <v>0</v>
      </c>
      <c r="O170" s="10">
        <f t="shared" si="44"/>
        <v>0</v>
      </c>
      <c r="P170" s="10">
        <f t="shared" si="44"/>
        <v>0</v>
      </c>
      <c r="Q170" s="10">
        <f t="shared" si="44"/>
        <v>50000</v>
      </c>
      <c r="R170" s="10">
        <f t="shared" si="44"/>
        <v>50000</v>
      </c>
      <c r="S170" s="10">
        <f t="shared" si="44"/>
        <v>800000</v>
      </c>
    </row>
    <row r="171" spans="1:19" s="9" customFormat="1" ht="16.5" customHeight="1">
      <c r="A171" s="9" t="s">
        <v>45</v>
      </c>
      <c r="B171" s="51"/>
      <c r="C171" s="51"/>
      <c r="D171" s="51"/>
      <c r="E171" s="54"/>
      <c r="F171" s="48"/>
      <c r="G171" s="48"/>
      <c r="H171" s="23" t="s">
        <v>10</v>
      </c>
      <c r="I171" s="11">
        <v>850000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50000</v>
      </c>
      <c r="R171" s="12">
        <f>SUM(K171:Q171)</f>
        <v>50000</v>
      </c>
      <c r="S171" s="12">
        <f>I171-J171-R171</f>
        <v>800000</v>
      </c>
    </row>
    <row r="172" spans="1:19" s="9" customFormat="1" ht="16.5" customHeight="1">
      <c r="A172" s="9" t="s">
        <v>45</v>
      </c>
      <c r="B172" s="51"/>
      <c r="C172" s="51"/>
      <c r="D172" s="51"/>
      <c r="E172" s="54"/>
      <c r="F172" s="48"/>
      <c r="G172" s="48"/>
      <c r="H172" s="3" t="s">
        <v>46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2">
        <f>SUM(K172:Q172)</f>
        <v>0</v>
      </c>
      <c r="S172" s="12">
        <f>I172-J172-R172</f>
        <v>0</v>
      </c>
    </row>
    <row r="173" spans="1:19" s="9" customFormat="1" ht="16.5" customHeight="1">
      <c r="A173" s="9" t="s">
        <v>45</v>
      </c>
      <c r="B173" s="52"/>
      <c r="C173" s="52"/>
      <c r="D173" s="52"/>
      <c r="E173" s="61"/>
      <c r="F173" s="49"/>
      <c r="G173" s="49"/>
      <c r="H173" s="3" t="s">
        <v>11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2">
        <f>SUM(K173:Q173)</f>
        <v>0</v>
      </c>
      <c r="S173" s="12">
        <f>I173-J173-R173</f>
        <v>0</v>
      </c>
    </row>
    <row r="174" spans="1:19" s="9" customFormat="1" ht="16.5" customHeight="1">
      <c r="A174" s="9" t="s">
        <v>45</v>
      </c>
      <c r="B174" s="50">
        <v>85</v>
      </c>
      <c r="C174" s="50">
        <v>41</v>
      </c>
      <c r="D174" s="50">
        <v>40</v>
      </c>
      <c r="E174" s="53" t="s">
        <v>41</v>
      </c>
      <c r="F174" s="47">
        <v>2013</v>
      </c>
      <c r="G174" s="47" t="s">
        <v>91</v>
      </c>
      <c r="H174" s="23" t="s">
        <v>8</v>
      </c>
      <c r="I174" s="10">
        <f>SUBTOTAL(9,I175:I177)</f>
        <v>4200000</v>
      </c>
      <c r="J174" s="10">
        <f>SUBTOTAL(9,J175:J177)</f>
        <v>0</v>
      </c>
      <c r="K174" s="10">
        <f aca="true" t="shared" si="45" ref="K174:S174">SUBTOTAL(9,K175:K177)</f>
        <v>0</v>
      </c>
      <c r="L174" s="40">
        <f t="shared" si="45"/>
        <v>0</v>
      </c>
      <c r="M174" s="10">
        <f t="shared" si="45"/>
        <v>0</v>
      </c>
      <c r="N174" s="10">
        <f t="shared" si="45"/>
        <v>0</v>
      </c>
      <c r="O174" s="10">
        <f t="shared" si="45"/>
        <v>0</v>
      </c>
      <c r="P174" s="10">
        <f t="shared" si="45"/>
        <v>0</v>
      </c>
      <c r="Q174" s="10">
        <f t="shared" si="45"/>
        <v>200000</v>
      </c>
      <c r="R174" s="10">
        <f t="shared" si="45"/>
        <v>200000</v>
      </c>
      <c r="S174" s="10">
        <f t="shared" si="45"/>
        <v>4000000</v>
      </c>
    </row>
    <row r="175" spans="1:19" s="9" customFormat="1" ht="16.5" customHeight="1">
      <c r="A175" s="9" t="s">
        <v>45</v>
      </c>
      <c r="B175" s="51"/>
      <c r="C175" s="51"/>
      <c r="D175" s="51"/>
      <c r="E175" s="54"/>
      <c r="F175" s="48"/>
      <c r="G175" s="48"/>
      <c r="H175" s="23" t="s">
        <v>10</v>
      </c>
      <c r="I175" s="11">
        <v>4200000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200000</v>
      </c>
      <c r="R175" s="12">
        <f>SUM(K175:Q175)</f>
        <v>200000</v>
      </c>
      <c r="S175" s="12">
        <f>I175-J175-R175</f>
        <v>4000000</v>
      </c>
    </row>
    <row r="176" spans="1:19" s="9" customFormat="1" ht="16.5" customHeight="1">
      <c r="A176" s="9" t="s">
        <v>45</v>
      </c>
      <c r="B176" s="51"/>
      <c r="C176" s="51"/>
      <c r="D176" s="51"/>
      <c r="E176" s="54"/>
      <c r="F176" s="48"/>
      <c r="G176" s="48"/>
      <c r="H176" s="3" t="s">
        <v>46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/>
      <c r="R176" s="12">
        <f>SUM(K176:Q176)</f>
        <v>0</v>
      </c>
      <c r="S176" s="12">
        <f>I176-J176-R176</f>
        <v>0</v>
      </c>
    </row>
    <row r="177" spans="1:19" s="9" customFormat="1" ht="16.5" customHeight="1">
      <c r="A177" s="9" t="s">
        <v>45</v>
      </c>
      <c r="B177" s="52"/>
      <c r="C177" s="52"/>
      <c r="D177" s="52"/>
      <c r="E177" s="61"/>
      <c r="F177" s="49"/>
      <c r="G177" s="49"/>
      <c r="H177" s="3" t="s">
        <v>11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f>SUM(K177:Q177)</f>
        <v>0</v>
      </c>
      <c r="S177" s="12">
        <f>I177-J177-R177</f>
        <v>0</v>
      </c>
    </row>
    <row r="178" spans="1:19" s="9" customFormat="1" ht="16.5" customHeight="1">
      <c r="A178" s="9" t="s">
        <v>45</v>
      </c>
      <c r="B178" s="50">
        <v>86</v>
      </c>
      <c r="C178" s="50">
        <v>42</v>
      </c>
      <c r="D178" s="50">
        <v>41</v>
      </c>
      <c r="E178" s="53" t="s">
        <v>42</v>
      </c>
      <c r="F178" s="47">
        <v>2013</v>
      </c>
      <c r="G178" s="47">
        <v>2013</v>
      </c>
      <c r="H178" s="23" t="s">
        <v>8</v>
      </c>
      <c r="I178" s="10">
        <f>SUBTOTAL(9,I179:I181)</f>
        <v>420000</v>
      </c>
      <c r="J178" s="10">
        <f>SUBTOTAL(9,J179:J181)</f>
        <v>0</v>
      </c>
      <c r="K178" s="10">
        <f aca="true" t="shared" si="46" ref="K178:S178">SUBTOTAL(9,K179:K181)</f>
        <v>0</v>
      </c>
      <c r="L178" s="40">
        <f t="shared" si="46"/>
        <v>0</v>
      </c>
      <c r="M178" s="10">
        <f t="shared" si="46"/>
        <v>0</v>
      </c>
      <c r="N178" s="10">
        <f t="shared" si="46"/>
        <v>0</v>
      </c>
      <c r="O178" s="10">
        <f t="shared" si="46"/>
        <v>0</v>
      </c>
      <c r="P178" s="10">
        <f t="shared" si="46"/>
        <v>0</v>
      </c>
      <c r="Q178" s="10">
        <f t="shared" si="46"/>
        <v>420000</v>
      </c>
      <c r="R178" s="10">
        <f t="shared" si="46"/>
        <v>420000</v>
      </c>
      <c r="S178" s="10">
        <f t="shared" si="46"/>
        <v>0</v>
      </c>
    </row>
    <row r="179" spans="1:19" s="9" customFormat="1" ht="16.5" customHeight="1">
      <c r="A179" s="9" t="s">
        <v>45</v>
      </c>
      <c r="B179" s="51"/>
      <c r="C179" s="51"/>
      <c r="D179" s="51"/>
      <c r="E179" s="54"/>
      <c r="F179" s="48"/>
      <c r="G179" s="48"/>
      <c r="H179" s="23" t="s">
        <v>10</v>
      </c>
      <c r="I179" s="11">
        <v>420000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420000</v>
      </c>
      <c r="R179" s="12">
        <f>SUM(K179:Q179)</f>
        <v>420000</v>
      </c>
      <c r="S179" s="12">
        <f>I179-J179-R179</f>
        <v>0</v>
      </c>
    </row>
    <row r="180" spans="1:19" s="9" customFormat="1" ht="16.5" customHeight="1">
      <c r="A180" s="9" t="s">
        <v>45</v>
      </c>
      <c r="B180" s="51"/>
      <c r="C180" s="51"/>
      <c r="D180" s="51"/>
      <c r="E180" s="54"/>
      <c r="F180" s="48"/>
      <c r="G180" s="48"/>
      <c r="H180" s="3" t="s">
        <v>46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2">
        <f>SUM(K180:Q180)</f>
        <v>0</v>
      </c>
      <c r="S180" s="12">
        <f>I180-J180-R180</f>
        <v>0</v>
      </c>
    </row>
    <row r="181" spans="1:19" s="9" customFormat="1" ht="16.5" customHeight="1">
      <c r="A181" s="9" t="s">
        <v>45</v>
      </c>
      <c r="B181" s="52"/>
      <c r="C181" s="52"/>
      <c r="D181" s="52"/>
      <c r="E181" s="61"/>
      <c r="F181" s="49"/>
      <c r="G181" s="49"/>
      <c r="H181" s="3" t="s">
        <v>11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2">
        <f>SUM(K181:Q181)</f>
        <v>0</v>
      </c>
      <c r="S181" s="12">
        <f>I181-J181-R181</f>
        <v>0</v>
      </c>
    </row>
    <row r="182" spans="1:19" s="9" customFormat="1" ht="36" customHeight="1">
      <c r="A182" s="9" t="s">
        <v>59</v>
      </c>
      <c r="B182" s="34"/>
      <c r="C182" s="62" t="s">
        <v>48</v>
      </c>
      <c r="D182" s="63"/>
      <c r="E182" s="63"/>
      <c r="F182" s="63"/>
      <c r="G182" s="64"/>
      <c r="H182" s="17" t="s">
        <v>8</v>
      </c>
      <c r="I182" s="18">
        <f>(SUMIF($A$183:$A$230,$A$182,$I183:I$230))/2</f>
        <v>22062581.92</v>
      </c>
      <c r="J182" s="18">
        <f>(SUMIF($A$183:$A$230,$A$182,$J183:J$230))/2</f>
        <v>117517</v>
      </c>
      <c r="K182" s="18">
        <f>(SUMIF($A$183:$A$230,$A$182,$K183:K$230))/2</f>
        <v>5077064.92</v>
      </c>
      <c r="L182" s="43">
        <f>(SUMIF($A$183:$A$230,$A$182,$L183:L$230))/2</f>
        <v>5268000</v>
      </c>
      <c r="M182" s="18">
        <f>(SUMIF($A$183:$A$230,$A$182,$M183:M$230))/2</f>
        <v>500000</v>
      </c>
      <c r="N182" s="18">
        <f>(SUMIF($A$183:$A$230,$A$182,$N183:N$230))/2</f>
        <v>500000</v>
      </c>
      <c r="O182" s="18">
        <f>(SUMIF($A$183:$A$230,$A$182,$O183:O$230))/2</f>
        <v>6100000</v>
      </c>
      <c r="P182" s="18">
        <f>(SUMIF($A$183:$A$230,$A$182,$P183:P$230))/2</f>
        <v>4500000</v>
      </c>
      <c r="Q182" s="18">
        <f>(SUMIF($A$183:$A$230,$A$182,$Q183:Q$230))/2</f>
        <v>0</v>
      </c>
      <c r="R182" s="18">
        <f>(SUMIF($A$183:$A$230,$A$182,$R183:R$230))/2</f>
        <v>21945064.92</v>
      </c>
      <c r="S182" s="18">
        <f>(SUMIF($A$183:$A$230,$A$182,$S183:S$230))/2</f>
        <v>0</v>
      </c>
    </row>
    <row r="183" spans="1:19" s="9" customFormat="1" ht="37.5" customHeight="1">
      <c r="A183" s="9" t="s">
        <v>59</v>
      </c>
      <c r="B183" s="51">
        <v>87</v>
      </c>
      <c r="C183" s="51">
        <v>43</v>
      </c>
      <c r="D183" s="50">
        <v>42</v>
      </c>
      <c r="E183" s="54" t="s">
        <v>86</v>
      </c>
      <c r="F183" s="48">
        <v>2006</v>
      </c>
      <c r="G183" s="48">
        <v>2007</v>
      </c>
      <c r="H183" s="23" t="s">
        <v>8</v>
      </c>
      <c r="I183" s="10">
        <f>SUBTOTAL(9,I184:I186)</f>
        <v>4723646.92</v>
      </c>
      <c r="J183" s="10">
        <f>SUBTOTAL(9,J184:J186)</f>
        <v>101717</v>
      </c>
      <c r="K183" s="10">
        <f aca="true" t="shared" si="47" ref="K183:S183">SUBTOTAL(9,K184:K186)</f>
        <v>4621929.92</v>
      </c>
      <c r="L183" s="40">
        <f t="shared" si="47"/>
        <v>0</v>
      </c>
      <c r="M183" s="10">
        <f t="shared" si="47"/>
        <v>0</v>
      </c>
      <c r="N183" s="10">
        <f t="shared" si="47"/>
        <v>0</v>
      </c>
      <c r="O183" s="10">
        <f t="shared" si="47"/>
        <v>0</v>
      </c>
      <c r="P183" s="10">
        <f t="shared" si="47"/>
        <v>0</v>
      </c>
      <c r="Q183" s="10">
        <f t="shared" si="47"/>
        <v>0</v>
      </c>
      <c r="R183" s="10">
        <f t="shared" si="47"/>
        <v>4621929.92</v>
      </c>
      <c r="S183" s="10">
        <f t="shared" si="47"/>
        <v>0</v>
      </c>
    </row>
    <row r="184" spans="1:19" s="9" customFormat="1" ht="37.5" customHeight="1">
      <c r="A184" s="9" t="s">
        <v>59</v>
      </c>
      <c r="B184" s="51"/>
      <c r="C184" s="51"/>
      <c r="D184" s="51"/>
      <c r="E184" s="54"/>
      <c r="F184" s="48"/>
      <c r="G184" s="48"/>
      <c r="H184" s="23" t="s">
        <v>10</v>
      </c>
      <c r="I184" s="11">
        <f>J184+K184</f>
        <v>957539.6035</v>
      </c>
      <c r="J184" s="11">
        <v>101717</v>
      </c>
      <c r="K184" s="11">
        <f>4430714.49*15%+191215.43</f>
        <v>855822.6035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2">
        <f>SUM(K184:Q184)</f>
        <v>855822.6035</v>
      </c>
      <c r="S184" s="12">
        <f>I184-J184-R184</f>
        <v>0</v>
      </c>
    </row>
    <row r="185" spans="1:19" s="9" customFormat="1" ht="37.5" customHeight="1">
      <c r="A185" s="9" t="s">
        <v>59</v>
      </c>
      <c r="B185" s="51"/>
      <c r="C185" s="51"/>
      <c r="D185" s="51"/>
      <c r="E185" s="54"/>
      <c r="F185" s="48"/>
      <c r="G185" s="48"/>
      <c r="H185" s="3" t="s">
        <v>46</v>
      </c>
      <c r="I185" s="11">
        <f>K185</f>
        <v>3766107.3165</v>
      </c>
      <c r="J185" s="11">
        <v>0</v>
      </c>
      <c r="K185" s="11">
        <f>4430714.49*85%</f>
        <v>3766107.3165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2">
        <f>SUM(K185:Q185)</f>
        <v>3766107.3165</v>
      </c>
      <c r="S185" s="12">
        <f>I185-J185-R185</f>
        <v>0</v>
      </c>
    </row>
    <row r="186" spans="1:19" s="9" customFormat="1" ht="37.5" customHeight="1">
      <c r="A186" s="9" t="s">
        <v>59</v>
      </c>
      <c r="B186" s="52"/>
      <c r="C186" s="51"/>
      <c r="D186" s="52"/>
      <c r="E186" s="55"/>
      <c r="F186" s="49"/>
      <c r="G186" s="49"/>
      <c r="H186" s="3" t="s">
        <v>11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2">
        <f>SUM(K186:Q186)</f>
        <v>0</v>
      </c>
      <c r="S186" s="12">
        <f>I186-J186-R186</f>
        <v>0</v>
      </c>
    </row>
    <row r="187" spans="1:19" s="9" customFormat="1" ht="16.5" customHeight="1">
      <c r="A187" s="9" t="s">
        <v>59</v>
      </c>
      <c r="B187" s="50">
        <v>90</v>
      </c>
      <c r="C187" s="50">
        <v>44</v>
      </c>
      <c r="D187" s="50">
        <v>43</v>
      </c>
      <c r="E187" s="80" t="s">
        <v>94</v>
      </c>
      <c r="F187" s="47">
        <v>2007</v>
      </c>
      <c r="G187" s="47">
        <v>2008</v>
      </c>
      <c r="H187" s="23" t="s">
        <v>8</v>
      </c>
      <c r="I187" s="10">
        <f aca="true" t="shared" si="48" ref="I187:S187">SUBTOTAL(9,I188:I190)</f>
        <v>1790935</v>
      </c>
      <c r="J187" s="10">
        <f t="shared" si="48"/>
        <v>15800</v>
      </c>
      <c r="K187" s="10">
        <f t="shared" si="48"/>
        <v>275135</v>
      </c>
      <c r="L187" s="40">
        <f t="shared" si="48"/>
        <v>1500000</v>
      </c>
      <c r="M187" s="10">
        <f t="shared" si="48"/>
        <v>0</v>
      </c>
      <c r="N187" s="10">
        <f t="shared" si="48"/>
        <v>0</v>
      </c>
      <c r="O187" s="10">
        <f t="shared" si="48"/>
        <v>0</v>
      </c>
      <c r="P187" s="10">
        <f t="shared" si="48"/>
        <v>0</v>
      </c>
      <c r="Q187" s="10">
        <f t="shared" si="48"/>
        <v>0</v>
      </c>
      <c r="R187" s="10">
        <f t="shared" si="48"/>
        <v>1775135</v>
      </c>
      <c r="S187" s="10">
        <f t="shared" si="48"/>
        <v>0</v>
      </c>
    </row>
    <row r="188" spans="1:19" s="9" customFormat="1" ht="16.5" customHeight="1">
      <c r="A188" s="9" t="s">
        <v>59</v>
      </c>
      <c r="B188" s="51"/>
      <c r="C188" s="51"/>
      <c r="D188" s="51"/>
      <c r="E188" s="54"/>
      <c r="F188" s="48"/>
      <c r="G188" s="48"/>
      <c r="H188" s="23" t="s">
        <v>10</v>
      </c>
      <c r="I188" s="11">
        <v>1790935</v>
      </c>
      <c r="J188" s="11">
        <v>15800</v>
      </c>
      <c r="K188" s="11">
        <v>275135</v>
      </c>
      <c r="L188" s="41">
        <v>1500000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2">
        <f>SUM(K188:Q188)</f>
        <v>1775135</v>
      </c>
      <c r="S188" s="12">
        <f>I188-J188-R188</f>
        <v>0</v>
      </c>
    </row>
    <row r="189" spans="1:19" s="9" customFormat="1" ht="16.5" customHeight="1">
      <c r="A189" s="9" t="s">
        <v>59</v>
      </c>
      <c r="B189" s="51"/>
      <c r="C189" s="51"/>
      <c r="D189" s="51"/>
      <c r="E189" s="54"/>
      <c r="F189" s="48"/>
      <c r="G189" s="48"/>
      <c r="H189" s="3" t="s">
        <v>46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2">
        <f>SUM(K189:Q189)</f>
        <v>0</v>
      </c>
      <c r="S189" s="12">
        <f>I189-J189-R189</f>
        <v>0</v>
      </c>
    </row>
    <row r="190" spans="1:19" s="9" customFormat="1" ht="16.5" customHeight="1">
      <c r="A190" s="9" t="s">
        <v>59</v>
      </c>
      <c r="B190" s="52"/>
      <c r="C190" s="52"/>
      <c r="D190" s="52"/>
      <c r="E190" s="61"/>
      <c r="F190" s="49"/>
      <c r="G190" s="49"/>
      <c r="H190" s="3" t="s">
        <v>11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2">
        <f>SUM(K190:Q190)</f>
        <v>0</v>
      </c>
      <c r="S190" s="12">
        <f>I190-J190-R190</f>
        <v>0</v>
      </c>
    </row>
    <row r="191" spans="1:19" s="9" customFormat="1" ht="16.5" customHeight="1">
      <c r="A191" s="9" t="s">
        <v>59</v>
      </c>
      <c r="B191" s="50">
        <v>90</v>
      </c>
      <c r="C191" s="50">
        <v>45</v>
      </c>
      <c r="D191" s="50">
        <v>43</v>
      </c>
      <c r="E191" s="80" t="s">
        <v>112</v>
      </c>
      <c r="F191" s="47">
        <v>2008</v>
      </c>
      <c r="G191" s="47">
        <v>2008</v>
      </c>
      <c r="H191" s="23" t="s">
        <v>8</v>
      </c>
      <c r="I191" s="10">
        <f aca="true" t="shared" si="49" ref="I191:S191">SUBTOTAL(9,I192:I194)</f>
        <v>18000</v>
      </c>
      <c r="J191" s="10">
        <f t="shared" si="49"/>
        <v>0</v>
      </c>
      <c r="K191" s="10">
        <f t="shared" si="49"/>
        <v>0</v>
      </c>
      <c r="L191" s="40">
        <f t="shared" si="49"/>
        <v>18000</v>
      </c>
      <c r="M191" s="10">
        <f t="shared" si="49"/>
        <v>0</v>
      </c>
      <c r="N191" s="10">
        <f t="shared" si="49"/>
        <v>0</v>
      </c>
      <c r="O191" s="10">
        <f t="shared" si="49"/>
        <v>0</v>
      </c>
      <c r="P191" s="10">
        <f t="shared" si="49"/>
        <v>0</v>
      </c>
      <c r="Q191" s="10">
        <f t="shared" si="49"/>
        <v>0</v>
      </c>
      <c r="R191" s="10">
        <f t="shared" si="49"/>
        <v>18000</v>
      </c>
      <c r="S191" s="10">
        <f t="shared" si="49"/>
        <v>0</v>
      </c>
    </row>
    <row r="192" spans="1:19" s="9" customFormat="1" ht="16.5" customHeight="1">
      <c r="A192" s="9" t="s">
        <v>59</v>
      </c>
      <c r="B192" s="51"/>
      <c r="C192" s="51"/>
      <c r="D192" s="51"/>
      <c r="E192" s="54"/>
      <c r="F192" s="48"/>
      <c r="G192" s="48"/>
      <c r="H192" s="23" t="s">
        <v>10</v>
      </c>
      <c r="I192" s="11">
        <v>18000</v>
      </c>
      <c r="J192" s="11">
        <v>0</v>
      </c>
      <c r="K192" s="11">
        <v>0</v>
      </c>
      <c r="L192" s="41">
        <v>18000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2">
        <f>SUM(K192:Q192)</f>
        <v>18000</v>
      </c>
      <c r="S192" s="12">
        <f>I192-J192-R192</f>
        <v>0</v>
      </c>
    </row>
    <row r="193" spans="1:19" s="9" customFormat="1" ht="16.5" customHeight="1">
      <c r="A193" s="9" t="s">
        <v>59</v>
      </c>
      <c r="B193" s="51"/>
      <c r="C193" s="51"/>
      <c r="D193" s="51"/>
      <c r="E193" s="54"/>
      <c r="F193" s="48"/>
      <c r="G193" s="48"/>
      <c r="H193" s="3" t="s">
        <v>46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2">
        <f>SUM(K193:Q193)</f>
        <v>0</v>
      </c>
      <c r="S193" s="12">
        <f>I193-J193-R193</f>
        <v>0</v>
      </c>
    </row>
    <row r="194" spans="1:19" s="9" customFormat="1" ht="16.5" customHeight="1">
      <c r="A194" s="9" t="s">
        <v>59</v>
      </c>
      <c r="B194" s="52"/>
      <c r="C194" s="52"/>
      <c r="D194" s="52"/>
      <c r="E194" s="61"/>
      <c r="F194" s="49"/>
      <c r="G194" s="49"/>
      <c r="H194" s="3" t="s">
        <v>11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2">
        <f>SUM(K194:Q194)</f>
        <v>0</v>
      </c>
      <c r="S194" s="12">
        <f>I194-J194-R194</f>
        <v>0</v>
      </c>
    </row>
    <row r="195" spans="1:19" s="9" customFormat="1" ht="16.5" customHeight="1">
      <c r="A195" s="9" t="s">
        <v>59</v>
      </c>
      <c r="B195" s="50">
        <v>91</v>
      </c>
      <c r="C195" s="50">
        <v>46</v>
      </c>
      <c r="D195" s="50">
        <v>44</v>
      </c>
      <c r="E195" s="57" t="s">
        <v>87</v>
      </c>
      <c r="F195" s="47">
        <v>2007</v>
      </c>
      <c r="G195" s="47">
        <v>2008</v>
      </c>
      <c r="H195" s="23" t="s">
        <v>8</v>
      </c>
      <c r="I195" s="10">
        <f aca="true" t="shared" si="50" ref="I195:S195">SUBTOTAL(9,I196:I198)</f>
        <v>950000</v>
      </c>
      <c r="J195" s="10">
        <f t="shared" si="50"/>
        <v>0</v>
      </c>
      <c r="K195" s="10">
        <f t="shared" si="50"/>
        <v>100000</v>
      </c>
      <c r="L195" s="40">
        <f t="shared" si="50"/>
        <v>850000</v>
      </c>
      <c r="M195" s="10">
        <f t="shared" si="50"/>
        <v>0</v>
      </c>
      <c r="N195" s="10">
        <f t="shared" si="50"/>
        <v>0</v>
      </c>
      <c r="O195" s="10">
        <f t="shared" si="50"/>
        <v>0</v>
      </c>
      <c r="P195" s="10">
        <f t="shared" si="50"/>
        <v>0</v>
      </c>
      <c r="Q195" s="10">
        <f t="shared" si="50"/>
        <v>0</v>
      </c>
      <c r="R195" s="10">
        <f t="shared" si="50"/>
        <v>950000</v>
      </c>
      <c r="S195" s="10">
        <f t="shared" si="50"/>
        <v>0</v>
      </c>
    </row>
    <row r="196" spans="1:19" s="9" customFormat="1" ht="16.5" customHeight="1">
      <c r="A196" s="9" t="s">
        <v>59</v>
      </c>
      <c r="B196" s="51"/>
      <c r="C196" s="51"/>
      <c r="D196" s="51"/>
      <c r="E196" s="45"/>
      <c r="F196" s="48"/>
      <c r="G196" s="48"/>
      <c r="H196" s="23" t="s">
        <v>10</v>
      </c>
      <c r="I196" s="11">
        <v>950000</v>
      </c>
      <c r="J196" s="11">
        <v>0</v>
      </c>
      <c r="K196" s="11">
        <v>100000</v>
      </c>
      <c r="L196" s="41">
        <v>850000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2">
        <f>SUM(K196:Q196)</f>
        <v>950000</v>
      </c>
      <c r="S196" s="12">
        <f>I196-J196-R196</f>
        <v>0</v>
      </c>
    </row>
    <row r="197" spans="1:19" s="9" customFormat="1" ht="16.5" customHeight="1">
      <c r="A197" s="9" t="s">
        <v>59</v>
      </c>
      <c r="B197" s="51"/>
      <c r="C197" s="51"/>
      <c r="D197" s="51"/>
      <c r="E197" s="45"/>
      <c r="F197" s="48"/>
      <c r="G197" s="48"/>
      <c r="H197" s="3" t="s">
        <v>46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2">
        <f>SUM(K197:Q197)</f>
        <v>0</v>
      </c>
      <c r="S197" s="12">
        <f>I197-J197-R197</f>
        <v>0</v>
      </c>
    </row>
    <row r="198" spans="1:19" s="9" customFormat="1" ht="16.5" customHeight="1">
      <c r="A198" s="9" t="s">
        <v>59</v>
      </c>
      <c r="B198" s="52"/>
      <c r="C198" s="52"/>
      <c r="D198" s="52"/>
      <c r="E198" s="58"/>
      <c r="F198" s="49"/>
      <c r="G198" s="49"/>
      <c r="H198" s="3" t="s">
        <v>11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2">
        <f>SUM(K198:Q198)</f>
        <v>0</v>
      </c>
      <c r="S198" s="12">
        <f>I198-J198-R198</f>
        <v>0</v>
      </c>
    </row>
    <row r="199" spans="1:19" s="9" customFormat="1" ht="16.5" customHeight="1">
      <c r="A199" s="9" t="s">
        <v>59</v>
      </c>
      <c r="B199" s="50">
        <v>91</v>
      </c>
      <c r="C199" s="56">
        <v>47</v>
      </c>
      <c r="D199" s="50">
        <v>45</v>
      </c>
      <c r="E199" s="57" t="s">
        <v>88</v>
      </c>
      <c r="F199" s="47">
        <v>2008</v>
      </c>
      <c r="G199" s="47">
        <v>2008</v>
      </c>
      <c r="H199" s="23" t="s">
        <v>8</v>
      </c>
      <c r="I199" s="10">
        <f aca="true" t="shared" si="51" ref="I199:O199">SUBTOTAL(9,I200:I202)</f>
        <v>500000</v>
      </c>
      <c r="J199" s="10">
        <f t="shared" si="51"/>
        <v>0</v>
      </c>
      <c r="K199" s="10">
        <f t="shared" si="51"/>
        <v>0</v>
      </c>
      <c r="L199" s="40">
        <f t="shared" si="51"/>
        <v>500000</v>
      </c>
      <c r="M199" s="10">
        <f t="shared" si="51"/>
        <v>0</v>
      </c>
      <c r="N199" s="10">
        <f t="shared" si="51"/>
        <v>0</v>
      </c>
      <c r="O199" s="10">
        <f t="shared" si="51"/>
        <v>0</v>
      </c>
      <c r="P199" s="10">
        <f>SUBTOTAL(9,P200:P202)</f>
        <v>0</v>
      </c>
      <c r="Q199" s="10">
        <f>SUBTOTAL(9,Q200:Q202)</f>
        <v>0</v>
      </c>
      <c r="R199" s="10">
        <f>SUBTOTAL(9,R200:R202)</f>
        <v>500000</v>
      </c>
      <c r="S199" s="10">
        <f>SUBTOTAL(9,S200:S202)</f>
        <v>0</v>
      </c>
    </row>
    <row r="200" spans="1:19" s="9" customFormat="1" ht="16.5" customHeight="1">
      <c r="A200" s="9" t="s">
        <v>59</v>
      </c>
      <c r="B200" s="51"/>
      <c r="C200" s="56"/>
      <c r="D200" s="51"/>
      <c r="E200" s="45"/>
      <c r="F200" s="48"/>
      <c r="G200" s="48"/>
      <c r="H200" s="23" t="s">
        <v>10</v>
      </c>
      <c r="I200" s="11">
        <v>500000</v>
      </c>
      <c r="J200" s="11">
        <v>0</v>
      </c>
      <c r="K200" s="11">
        <v>0</v>
      </c>
      <c r="L200" s="41">
        <v>500000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2">
        <f>SUM(K200:Q200)</f>
        <v>500000</v>
      </c>
      <c r="S200" s="12">
        <f>I200-J200-R200</f>
        <v>0</v>
      </c>
    </row>
    <row r="201" spans="1:19" s="9" customFormat="1" ht="16.5" customHeight="1">
      <c r="A201" s="9" t="s">
        <v>59</v>
      </c>
      <c r="B201" s="51"/>
      <c r="C201" s="56"/>
      <c r="D201" s="51"/>
      <c r="E201" s="45"/>
      <c r="F201" s="48"/>
      <c r="G201" s="48"/>
      <c r="H201" s="3" t="s">
        <v>46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2">
        <f>SUM(K201:Q201)</f>
        <v>0</v>
      </c>
      <c r="S201" s="12">
        <f>I201-J201-R201</f>
        <v>0</v>
      </c>
    </row>
    <row r="202" spans="1:19" s="9" customFormat="1" ht="16.5" customHeight="1">
      <c r="A202" s="9" t="s">
        <v>59</v>
      </c>
      <c r="B202" s="52"/>
      <c r="C202" s="56"/>
      <c r="D202" s="52"/>
      <c r="E202" s="58"/>
      <c r="F202" s="49"/>
      <c r="G202" s="49"/>
      <c r="H202" s="3" t="s">
        <v>11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2">
        <f>SUM(K202:Q202)</f>
        <v>0</v>
      </c>
      <c r="S202" s="12">
        <f>I202-J202-R202</f>
        <v>0</v>
      </c>
    </row>
    <row r="203" spans="1:19" s="9" customFormat="1" ht="18" customHeight="1">
      <c r="A203" s="9" t="s">
        <v>59</v>
      </c>
      <c r="B203" s="50">
        <v>91</v>
      </c>
      <c r="C203" s="50">
        <v>48</v>
      </c>
      <c r="D203" s="50">
        <v>46</v>
      </c>
      <c r="E203" s="57" t="s">
        <v>113</v>
      </c>
      <c r="F203" s="47">
        <v>2008</v>
      </c>
      <c r="G203" s="47">
        <v>2008</v>
      </c>
      <c r="H203" s="23" t="s">
        <v>8</v>
      </c>
      <c r="I203" s="10">
        <f aca="true" t="shared" si="52" ref="I203:O203">SUBTOTAL(9,I204:I206)</f>
        <v>200000</v>
      </c>
      <c r="J203" s="10">
        <f t="shared" si="52"/>
        <v>0</v>
      </c>
      <c r="K203" s="10">
        <f t="shared" si="52"/>
        <v>0</v>
      </c>
      <c r="L203" s="40">
        <f t="shared" si="52"/>
        <v>200000</v>
      </c>
      <c r="M203" s="10">
        <f t="shared" si="52"/>
        <v>0</v>
      </c>
      <c r="N203" s="10">
        <f t="shared" si="52"/>
        <v>0</v>
      </c>
      <c r="O203" s="10">
        <f t="shared" si="52"/>
        <v>0</v>
      </c>
      <c r="P203" s="10">
        <f>SUBTOTAL(9,P204:P206)</f>
        <v>0</v>
      </c>
      <c r="Q203" s="10">
        <f>SUBTOTAL(9,Q204:Q206)</f>
        <v>0</v>
      </c>
      <c r="R203" s="10">
        <f>SUBTOTAL(9,R204:R206)</f>
        <v>200000</v>
      </c>
      <c r="S203" s="10">
        <f>SUBTOTAL(9,S204:S206)</f>
        <v>0</v>
      </c>
    </row>
    <row r="204" spans="1:19" s="9" customFormat="1" ht="18" customHeight="1">
      <c r="A204" s="9" t="s">
        <v>59</v>
      </c>
      <c r="B204" s="51"/>
      <c r="C204" s="51"/>
      <c r="D204" s="51"/>
      <c r="E204" s="45"/>
      <c r="F204" s="48"/>
      <c r="G204" s="48"/>
      <c r="H204" s="23" t="s">
        <v>10</v>
      </c>
      <c r="I204" s="11">
        <v>200000</v>
      </c>
      <c r="J204" s="11">
        <v>0</v>
      </c>
      <c r="K204" s="11">
        <v>0</v>
      </c>
      <c r="L204" s="41">
        <v>200000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2">
        <f>SUM(K204:Q204)</f>
        <v>200000</v>
      </c>
      <c r="S204" s="12">
        <f>I204-J204-R204</f>
        <v>0</v>
      </c>
    </row>
    <row r="205" spans="1:19" s="9" customFormat="1" ht="18" customHeight="1">
      <c r="A205" s="9" t="s">
        <v>59</v>
      </c>
      <c r="B205" s="51"/>
      <c r="C205" s="51"/>
      <c r="D205" s="51"/>
      <c r="E205" s="45"/>
      <c r="F205" s="48"/>
      <c r="G205" s="48"/>
      <c r="H205" s="3" t="s">
        <v>46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2">
        <f>SUM(K205:Q205)</f>
        <v>0</v>
      </c>
      <c r="S205" s="12">
        <f>I205-J205-R205</f>
        <v>0</v>
      </c>
    </row>
    <row r="206" spans="1:19" s="9" customFormat="1" ht="18" customHeight="1">
      <c r="A206" s="9" t="s">
        <v>59</v>
      </c>
      <c r="B206" s="52"/>
      <c r="C206" s="52"/>
      <c r="D206" s="52"/>
      <c r="E206" s="58"/>
      <c r="F206" s="49"/>
      <c r="G206" s="49"/>
      <c r="H206" s="3" t="s">
        <v>11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2">
        <f>SUM(K206:Q206)</f>
        <v>0</v>
      </c>
      <c r="S206" s="12">
        <f>I206-J206-R206</f>
        <v>0</v>
      </c>
    </row>
    <row r="207" spans="1:19" s="9" customFormat="1" ht="16.5" customHeight="1">
      <c r="A207" s="9" t="s">
        <v>59</v>
      </c>
      <c r="B207" s="50">
        <v>91</v>
      </c>
      <c r="C207" s="50">
        <v>49</v>
      </c>
      <c r="D207" s="50">
        <v>46</v>
      </c>
      <c r="E207" s="57" t="s">
        <v>68</v>
      </c>
      <c r="F207" s="47">
        <v>2008</v>
      </c>
      <c r="G207" s="47">
        <v>2008</v>
      </c>
      <c r="H207" s="23" t="s">
        <v>8</v>
      </c>
      <c r="I207" s="10">
        <f aca="true" t="shared" si="53" ref="I207:O207">SUBTOTAL(9,I208:I210)</f>
        <v>200000</v>
      </c>
      <c r="J207" s="10">
        <f t="shared" si="53"/>
        <v>0</v>
      </c>
      <c r="K207" s="10">
        <f t="shared" si="53"/>
        <v>0</v>
      </c>
      <c r="L207" s="40">
        <f t="shared" si="53"/>
        <v>200000</v>
      </c>
      <c r="M207" s="10">
        <f t="shared" si="53"/>
        <v>0</v>
      </c>
      <c r="N207" s="10">
        <f t="shared" si="53"/>
        <v>0</v>
      </c>
      <c r="O207" s="10">
        <f t="shared" si="53"/>
        <v>0</v>
      </c>
      <c r="P207" s="10">
        <f>SUBTOTAL(9,P208:P210)</f>
        <v>0</v>
      </c>
      <c r="Q207" s="10">
        <f>SUBTOTAL(9,Q208:Q210)</f>
        <v>0</v>
      </c>
      <c r="R207" s="10">
        <f>SUBTOTAL(9,R208:R210)</f>
        <v>200000</v>
      </c>
      <c r="S207" s="10">
        <f>SUBTOTAL(9,S208:S210)</f>
        <v>0</v>
      </c>
    </row>
    <row r="208" spans="1:19" s="9" customFormat="1" ht="16.5" customHeight="1">
      <c r="A208" s="9" t="s">
        <v>59</v>
      </c>
      <c r="B208" s="51"/>
      <c r="C208" s="51"/>
      <c r="D208" s="51"/>
      <c r="E208" s="45"/>
      <c r="F208" s="48"/>
      <c r="G208" s="48"/>
      <c r="H208" s="23" t="s">
        <v>10</v>
      </c>
      <c r="I208" s="11">
        <v>200000</v>
      </c>
      <c r="J208" s="11">
        <v>0</v>
      </c>
      <c r="K208" s="11">
        <v>0</v>
      </c>
      <c r="L208" s="41">
        <v>200000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2">
        <f>SUM(K208:Q208)</f>
        <v>200000</v>
      </c>
      <c r="S208" s="12">
        <f>I208-J208-R208</f>
        <v>0</v>
      </c>
    </row>
    <row r="209" spans="1:19" s="9" customFormat="1" ht="16.5" customHeight="1">
      <c r="A209" s="9" t="s">
        <v>59</v>
      </c>
      <c r="B209" s="51"/>
      <c r="C209" s="51"/>
      <c r="D209" s="51"/>
      <c r="E209" s="45"/>
      <c r="F209" s="48"/>
      <c r="G209" s="48"/>
      <c r="H209" s="3" t="s">
        <v>46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2">
        <f>SUM(K209:Q209)</f>
        <v>0</v>
      </c>
      <c r="S209" s="12">
        <f>I209-J209-R209</f>
        <v>0</v>
      </c>
    </row>
    <row r="210" spans="1:19" s="9" customFormat="1" ht="16.5" customHeight="1">
      <c r="A210" s="9" t="s">
        <v>59</v>
      </c>
      <c r="B210" s="52"/>
      <c r="C210" s="52"/>
      <c r="D210" s="52"/>
      <c r="E210" s="58"/>
      <c r="F210" s="49"/>
      <c r="G210" s="49"/>
      <c r="H210" s="3" t="s">
        <v>11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2">
        <f>SUM(K210:Q210)</f>
        <v>0</v>
      </c>
      <c r="S210" s="12">
        <f>I210-J210-R210</f>
        <v>0</v>
      </c>
    </row>
    <row r="211" spans="1:19" ht="16.5" customHeight="1">
      <c r="A211" s="9" t="s">
        <v>59</v>
      </c>
      <c r="B211" s="50">
        <v>88</v>
      </c>
      <c r="C211" s="50">
        <v>50</v>
      </c>
      <c r="D211" s="50">
        <v>47</v>
      </c>
      <c r="E211" s="44" t="s">
        <v>105</v>
      </c>
      <c r="F211" s="47">
        <v>2007</v>
      </c>
      <c r="G211" s="47">
        <v>2009</v>
      </c>
      <c r="H211" s="23" t="s">
        <v>8</v>
      </c>
      <c r="I211" s="10">
        <f>SUBTOTAL(9,I212:I214)</f>
        <v>2530000</v>
      </c>
      <c r="J211" s="10">
        <f>SUBTOTAL(9,J212:J214)</f>
        <v>0</v>
      </c>
      <c r="K211" s="10">
        <f aca="true" t="shared" si="54" ref="K211:S211">SUBTOTAL(9,K212:K214)</f>
        <v>30000</v>
      </c>
      <c r="L211" s="40">
        <f t="shared" si="54"/>
        <v>2000000</v>
      </c>
      <c r="M211" s="10">
        <f t="shared" si="54"/>
        <v>500000</v>
      </c>
      <c r="N211" s="10">
        <f t="shared" si="54"/>
        <v>0</v>
      </c>
      <c r="O211" s="10">
        <f t="shared" si="54"/>
        <v>0</v>
      </c>
      <c r="P211" s="10">
        <f t="shared" si="54"/>
        <v>0</v>
      </c>
      <c r="Q211" s="10">
        <f t="shared" si="54"/>
        <v>0</v>
      </c>
      <c r="R211" s="10">
        <f t="shared" si="54"/>
        <v>2530000</v>
      </c>
      <c r="S211" s="10">
        <f t="shared" si="54"/>
        <v>0</v>
      </c>
    </row>
    <row r="212" spans="1:20" ht="16.5" customHeight="1">
      <c r="A212" s="9" t="s">
        <v>59</v>
      </c>
      <c r="B212" s="51"/>
      <c r="C212" s="51"/>
      <c r="D212" s="51"/>
      <c r="E212" s="45"/>
      <c r="F212" s="48"/>
      <c r="G212" s="48"/>
      <c r="H212" s="23" t="s">
        <v>10</v>
      </c>
      <c r="I212" s="11">
        <v>1030000</v>
      </c>
      <c r="J212" s="11">
        <v>0</v>
      </c>
      <c r="K212" s="11">
        <v>30000</v>
      </c>
      <c r="L212" s="41">
        <f>2000000*100%</f>
        <v>2000000</v>
      </c>
      <c r="M212" s="11">
        <f>(-700000)</f>
        <v>-700000</v>
      </c>
      <c r="N212" s="11">
        <f>(-N213)</f>
        <v>-300000</v>
      </c>
      <c r="O212" s="11"/>
      <c r="P212" s="11">
        <v>0</v>
      </c>
      <c r="Q212" s="11">
        <v>0</v>
      </c>
      <c r="R212" s="12">
        <f>SUM(K212:Q212)</f>
        <v>1030000</v>
      </c>
      <c r="S212" s="12">
        <f>I212-J212-R212</f>
        <v>0</v>
      </c>
      <c r="T212" s="36"/>
    </row>
    <row r="213" spans="1:20" ht="16.5" customHeight="1">
      <c r="A213" s="9" t="s">
        <v>59</v>
      </c>
      <c r="B213" s="51"/>
      <c r="C213" s="51"/>
      <c r="D213" s="51"/>
      <c r="E213" s="45"/>
      <c r="F213" s="48"/>
      <c r="G213" s="48"/>
      <c r="H213" s="3" t="s">
        <v>46</v>
      </c>
      <c r="I213" s="11">
        <v>1500000</v>
      </c>
      <c r="J213" s="11">
        <v>0</v>
      </c>
      <c r="K213" s="11">
        <v>0</v>
      </c>
      <c r="L213" s="41"/>
      <c r="M213" s="41">
        <f>2000000*60%</f>
        <v>1200000</v>
      </c>
      <c r="N213" s="11">
        <f>500000*60%</f>
        <v>300000</v>
      </c>
      <c r="O213" s="11">
        <v>0</v>
      </c>
      <c r="P213" s="11">
        <v>0</v>
      </c>
      <c r="Q213" s="11">
        <v>0</v>
      </c>
      <c r="R213" s="12">
        <f>SUM(K213:Q213)</f>
        <v>1500000</v>
      </c>
      <c r="S213" s="12">
        <f>I213-J213-R213</f>
        <v>0</v>
      </c>
      <c r="T213" s="36"/>
    </row>
    <row r="214" spans="1:20" ht="16.5" customHeight="1">
      <c r="A214" s="9" t="s">
        <v>59</v>
      </c>
      <c r="B214" s="52"/>
      <c r="C214" s="52"/>
      <c r="D214" s="52"/>
      <c r="E214" s="46"/>
      <c r="F214" s="49"/>
      <c r="G214" s="49"/>
      <c r="H214" s="3" t="s">
        <v>11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2">
        <f>SUM(K214:Q214)</f>
        <v>0</v>
      </c>
      <c r="S214" s="12">
        <f>I214-J214-R214</f>
        <v>0</v>
      </c>
      <c r="T214" s="36"/>
    </row>
    <row r="215" spans="1:19" ht="16.5" customHeight="1">
      <c r="A215" s="9" t="s">
        <v>59</v>
      </c>
      <c r="B215" s="50">
        <v>93</v>
      </c>
      <c r="C215" s="50">
        <v>51</v>
      </c>
      <c r="D215" s="50">
        <v>49</v>
      </c>
      <c r="E215" s="53" t="s">
        <v>43</v>
      </c>
      <c r="F215" s="47">
        <v>2010</v>
      </c>
      <c r="G215" s="47">
        <v>2012</v>
      </c>
      <c r="H215" s="23" t="s">
        <v>8</v>
      </c>
      <c r="I215" s="10">
        <f aca="true" t="shared" si="55" ref="I215:S215">SUBTOTAL(9,I216:I218)</f>
        <v>7500000</v>
      </c>
      <c r="J215" s="10">
        <f t="shared" si="55"/>
        <v>0</v>
      </c>
      <c r="K215" s="10">
        <f t="shared" si="55"/>
        <v>0</v>
      </c>
      <c r="L215" s="40">
        <f t="shared" si="55"/>
        <v>0</v>
      </c>
      <c r="M215" s="10">
        <f t="shared" si="55"/>
        <v>0</v>
      </c>
      <c r="N215" s="10">
        <f t="shared" si="55"/>
        <v>500000</v>
      </c>
      <c r="O215" s="10">
        <f t="shared" si="55"/>
        <v>4000000</v>
      </c>
      <c r="P215" s="10">
        <f t="shared" si="55"/>
        <v>3000000</v>
      </c>
      <c r="Q215" s="10">
        <f t="shared" si="55"/>
        <v>0</v>
      </c>
      <c r="R215" s="10">
        <f t="shared" si="55"/>
        <v>7500000</v>
      </c>
      <c r="S215" s="10">
        <f t="shared" si="55"/>
        <v>0</v>
      </c>
    </row>
    <row r="216" spans="1:19" ht="16.5" customHeight="1">
      <c r="A216" s="9" t="s">
        <v>59</v>
      </c>
      <c r="B216" s="51"/>
      <c r="C216" s="51"/>
      <c r="D216" s="51"/>
      <c r="E216" s="54"/>
      <c r="F216" s="48"/>
      <c r="G216" s="48"/>
      <c r="H216" s="23" t="s">
        <v>10</v>
      </c>
      <c r="I216" s="11">
        <v>3000000</v>
      </c>
      <c r="J216" s="11">
        <v>0</v>
      </c>
      <c r="K216" s="11">
        <v>0</v>
      </c>
      <c r="L216" s="11">
        <v>0</v>
      </c>
      <c r="M216" s="11">
        <v>0</v>
      </c>
      <c r="N216" s="11">
        <f>500000*100%</f>
        <v>500000</v>
      </c>
      <c r="O216" s="11">
        <v>3700000</v>
      </c>
      <c r="P216" s="11">
        <v>600000</v>
      </c>
      <c r="Q216" s="11">
        <f>(-Q217)</f>
        <v>-1800000</v>
      </c>
      <c r="R216" s="12">
        <f>SUM(K216:Q216)</f>
        <v>3000000</v>
      </c>
      <c r="S216" s="12">
        <f>I216-J216-R216</f>
        <v>0</v>
      </c>
    </row>
    <row r="217" spans="1:19" ht="16.5" customHeight="1">
      <c r="A217" s="9" t="s">
        <v>59</v>
      </c>
      <c r="B217" s="51"/>
      <c r="C217" s="51"/>
      <c r="D217" s="51"/>
      <c r="E217" s="54"/>
      <c r="F217" s="48"/>
      <c r="G217" s="48"/>
      <c r="H217" s="3" t="s">
        <v>46</v>
      </c>
      <c r="I217" s="11">
        <v>4500000</v>
      </c>
      <c r="J217" s="11">
        <v>0</v>
      </c>
      <c r="K217" s="11">
        <v>0</v>
      </c>
      <c r="L217" s="11">
        <v>0</v>
      </c>
      <c r="M217" s="11">
        <v>0</v>
      </c>
      <c r="N217" s="11"/>
      <c r="O217" s="11">
        <f>500000*60%</f>
        <v>300000</v>
      </c>
      <c r="P217" s="11">
        <f>4000000*60%</f>
        <v>2400000</v>
      </c>
      <c r="Q217" s="11">
        <f>3000000*60%</f>
        <v>1800000</v>
      </c>
      <c r="R217" s="12">
        <f>SUM(K217:Q217)</f>
        <v>4500000</v>
      </c>
      <c r="S217" s="12">
        <f>I217-J217-R217</f>
        <v>0</v>
      </c>
    </row>
    <row r="218" spans="1:19" ht="16.5" customHeight="1">
      <c r="A218" s="9" t="s">
        <v>59</v>
      </c>
      <c r="B218" s="52"/>
      <c r="C218" s="52"/>
      <c r="D218" s="52"/>
      <c r="E218" s="55"/>
      <c r="F218" s="49"/>
      <c r="G218" s="49"/>
      <c r="H218" s="3" t="s">
        <v>11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2">
        <f>SUM(K218:Q218)</f>
        <v>0</v>
      </c>
      <c r="S218" s="12">
        <f>I218-J218-R218</f>
        <v>0</v>
      </c>
    </row>
    <row r="219" spans="1:19" s="9" customFormat="1" ht="16.5" customHeight="1">
      <c r="A219" s="9" t="s">
        <v>59</v>
      </c>
      <c r="B219" s="50">
        <v>88</v>
      </c>
      <c r="C219" s="50">
        <v>52</v>
      </c>
      <c r="D219" s="50">
        <v>50</v>
      </c>
      <c r="E219" s="80" t="s">
        <v>77</v>
      </c>
      <c r="F219" s="47">
        <v>2007</v>
      </c>
      <c r="G219" s="47">
        <v>2011</v>
      </c>
      <c r="H219" s="23" t="s">
        <v>8</v>
      </c>
      <c r="I219" s="10">
        <f>SUBTOTAL(9,I220:I222)</f>
        <v>1550000</v>
      </c>
      <c r="J219" s="10">
        <f>SUBTOTAL(9,J220:J222)</f>
        <v>0</v>
      </c>
      <c r="K219" s="10">
        <f aca="true" t="shared" si="56" ref="K219:S219">SUBTOTAL(9,K220:K222)</f>
        <v>50000</v>
      </c>
      <c r="L219" s="40">
        <f t="shared" si="56"/>
        <v>0</v>
      </c>
      <c r="M219" s="10">
        <f t="shared" si="56"/>
        <v>0</v>
      </c>
      <c r="N219" s="10">
        <f t="shared" si="56"/>
        <v>0</v>
      </c>
      <c r="O219" s="10">
        <f t="shared" si="56"/>
        <v>1500000</v>
      </c>
      <c r="P219" s="10">
        <f t="shared" si="56"/>
        <v>0</v>
      </c>
      <c r="Q219" s="10">
        <f t="shared" si="56"/>
        <v>0</v>
      </c>
      <c r="R219" s="10">
        <f t="shared" si="56"/>
        <v>1550000</v>
      </c>
      <c r="S219" s="10">
        <f t="shared" si="56"/>
        <v>0</v>
      </c>
    </row>
    <row r="220" spans="1:19" s="9" customFormat="1" ht="16.5" customHeight="1">
      <c r="A220" s="9" t="s">
        <v>59</v>
      </c>
      <c r="B220" s="51"/>
      <c r="C220" s="51"/>
      <c r="D220" s="51"/>
      <c r="E220" s="54"/>
      <c r="F220" s="48"/>
      <c r="G220" s="48"/>
      <c r="H220" s="23" t="s">
        <v>10</v>
      </c>
      <c r="I220" s="11">
        <v>650000</v>
      </c>
      <c r="J220" s="11">
        <v>0</v>
      </c>
      <c r="K220" s="11">
        <v>50000</v>
      </c>
      <c r="L220" s="11">
        <v>0</v>
      </c>
      <c r="M220" s="11"/>
      <c r="N220" s="11"/>
      <c r="O220" s="11">
        <f>1500000*100%</f>
        <v>1500000</v>
      </c>
      <c r="P220" s="11">
        <f>(-P221)</f>
        <v>-900000</v>
      </c>
      <c r="Q220" s="11">
        <v>0</v>
      </c>
      <c r="R220" s="12">
        <f>SUM(K220:Q220)</f>
        <v>650000</v>
      </c>
      <c r="S220" s="12">
        <f>I220-J220-R220</f>
        <v>0</v>
      </c>
    </row>
    <row r="221" spans="1:19" s="9" customFormat="1" ht="16.5" customHeight="1">
      <c r="A221" s="9" t="s">
        <v>59</v>
      </c>
      <c r="B221" s="51"/>
      <c r="C221" s="51"/>
      <c r="D221" s="51"/>
      <c r="E221" s="54"/>
      <c r="F221" s="48"/>
      <c r="G221" s="48"/>
      <c r="H221" s="3" t="s">
        <v>46</v>
      </c>
      <c r="I221" s="11">
        <v>900000</v>
      </c>
      <c r="J221" s="11">
        <v>0</v>
      </c>
      <c r="K221" s="11">
        <v>0</v>
      </c>
      <c r="L221" s="11">
        <v>0</v>
      </c>
      <c r="M221" s="11"/>
      <c r="N221" s="11"/>
      <c r="O221" s="11"/>
      <c r="P221" s="11">
        <f>1500000*60%</f>
        <v>900000</v>
      </c>
      <c r="Q221" s="11">
        <v>0</v>
      </c>
      <c r="R221" s="12">
        <f>SUM(K221:Q221)</f>
        <v>900000</v>
      </c>
      <c r="S221" s="12">
        <f>I221-J221-R221</f>
        <v>0</v>
      </c>
    </row>
    <row r="222" spans="1:19" s="9" customFormat="1" ht="16.5" customHeight="1">
      <c r="A222" s="9" t="s">
        <v>59</v>
      </c>
      <c r="B222" s="52"/>
      <c r="C222" s="52"/>
      <c r="D222" s="52"/>
      <c r="E222" s="55"/>
      <c r="F222" s="49"/>
      <c r="G222" s="49"/>
      <c r="H222" s="3" t="s">
        <v>11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2">
        <f>SUM(K222:Q222)</f>
        <v>0</v>
      </c>
      <c r="S222" s="12">
        <f>I222-J222-R222</f>
        <v>0</v>
      </c>
    </row>
    <row r="223" spans="1:19" ht="16.5" customHeight="1">
      <c r="A223" s="9" t="s">
        <v>59</v>
      </c>
      <c r="B223" s="50">
        <v>94</v>
      </c>
      <c r="C223" s="50">
        <v>53</v>
      </c>
      <c r="D223" s="50">
        <v>51</v>
      </c>
      <c r="E223" s="80" t="s">
        <v>44</v>
      </c>
      <c r="F223" s="47">
        <v>2011</v>
      </c>
      <c r="G223" s="47">
        <v>2011</v>
      </c>
      <c r="H223" s="23" t="s">
        <v>8</v>
      </c>
      <c r="I223" s="10">
        <f>SUBTOTAL(9,I224:I226)</f>
        <v>500000</v>
      </c>
      <c r="J223" s="10">
        <f>SUBTOTAL(9,J224:J226)</f>
        <v>0</v>
      </c>
      <c r="K223" s="10">
        <f aca="true" t="shared" si="57" ref="K223:S223">SUBTOTAL(9,K224:K226)</f>
        <v>0</v>
      </c>
      <c r="L223" s="40">
        <f t="shared" si="57"/>
        <v>0</v>
      </c>
      <c r="M223" s="10">
        <f t="shared" si="57"/>
        <v>0</v>
      </c>
      <c r="N223" s="10">
        <f t="shared" si="57"/>
        <v>0</v>
      </c>
      <c r="O223" s="10">
        <f t="shared" si="57"/>
        <v>500000</v>
      </c>
      <c r="P223" s="10">
        <f t="shared" si="57"/>
        <v>0</v>
      </c>
      <c r="Q223" s="10">
        <f t="shared" si="57"/>
        <v>0</v>
      </c>
      <c r="R223" s="10">
        <f t="shared" si="57"/>
        <v>500000</v>
      </c>
      <c r="S223" s="10">
        <f t="shared" si="57"/>
        <v>0</v>
      </c>
    </row>
    <row r="224" spans="1:19" ht="16.5" customHeight="1">
      <c r="A224" s="9" t="s">
        <v>59</v>
      </c>
      <c r="B224" s="51"/>
      <c r="C224" s="51"/>
      <c r="D224" s="51"/>
      <c r="E224" s="54"/>
      <c r="F224" s="48"/>
      <c r="G224" s="48"/>
      <c r="H224" s="23" t="s">
        <v>10</v>
      </c>
      <c r="I224" s="11">
        <v>500000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500000</v>
      </c>
      <c r="P224" s="11">
        <v>0</v>
      </c>
      <c r="Q224" s="11">
        <v>0</v>
      </c>
      <c r="R224" s="12">
        <f>SUM(K224:Q224)</f>
        <v>500000</v>
      </c>
      <c r="S224" s="12">
        <f>I224-J224-R224</f>
        <v>0</v>
      </c>
    </row>
    <row r="225" spans="1:19" ht="16.5" customHeight="1">
      <c r="A225" s="9" t="s">
        <v>59</v>
      </c>
      <c r="B225" s="51"/>
      <c r="C225" s="51"/>
      <c r="D225" s="51"/>
      <c r="E225" s="54"/>
      <c r="F225" s="48"/>
      <c r="G225" s="48"/>
      <c r="H225" s="3" t="s">
        <v>46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2">
        <f>SUM(K225:Q225)</f>
        <v>0</v>
      </c>
      <c r="S225" s="12">
        <f>I225-J225-R225</f>
        <v>0</v>
      </c>
    </row>
    <row r="226" spans="1:19" ht="16.5" customHeight="1">
      <c r="A226" s="9" t="s">
        <v>59</v>
      </c>
      <c r="B226" s="52"/>
      <c r="C226" s="52"/>
      <c r="D226" s="52"/>
      <c r="E226" s="61"/>
      <c r="F226" s="49"/>
      <c r="G226" s="49"/>
      <c r="H226" s="3" t="s">
        <v>11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2">
        <f>SUM(K226:Q226)</f>
        <v>0</v>
      </c>
      <c r="S226" s="12">
        <f>I226-J226-R226</f>
        <v>0</v>
      </c>
    </row>
    <row r="227" spans="1:19" s="9" customFormat="1" ht="16.5" customHeight="1">
      <c r="A227" s="9" t="s">
        <v>59</v>
      </c>
      <c r="B227" s="50">
        <v>91</v>
      </c>
      <c r="C227" s="50">
        <v>54</v>
      </c>
      <c r="D227" s="50">
        <v>52</v>
      </c>
      <c r="E227" s="57" t="s">
        <v>65</v>
      </c>
      <c r="F227" s="47">
        <v>2011</v>
      </c>
      <c r="G227" s="47">
        <v>2012</v>
      </c>
      <c r="H227" s="23" t="s">
        <v>8</v>
      </c>
      <c r="I227" s="10">
        <f aca="true" t="shared" si="58" ref="I227:O227">SUBTOTAL(9,I228:I230)</f>
        <v>1600000</v>
      </c>
      <c r="J227" s="10">
        <f t="shared" si="58"/>
        <v>0</v>
      </c>
      <c r="K227" s="10">
        <f t="shared" si="58"/>
        <v>0</v>
      </c>
      <c r="L227" s="40">
        <f t="shared" si="58"/>
        <v>0</v>
      </c>
      <c r="M227" s="10">
        <f t="shared" si="58"/>
        <v>0</v>
      </c>
      <c r="N227" s="10">
        <f t="shared" si="58"/>
        <v>0</v>
      </c>
      <c r="O227" s="10">
        <f t="shared" si="58"/>
        <v>100000</v>
      </c>
      <c r="P227" s="10">
        <f>SUBTOTAL(9,P228:P230)</f>
        <v>1500000</v>
      </c>
      <c r="Q227" s="10">
        <f>SUBTOTAL(9,Q228:Q230)</f>
        <v>0</v>
      </c>
      <c r="R227" s="10">
        <f>SUBTOTAL(9,R228:R230)</f>
        <v>1600000</v>
      </c>
      <c r="S227" s="10">
        <f>SUBTOTAL(9,S228:S230)</f>
        <v>0</v>
      </c>
    </row>
    <row r="228" spans="1:19" s="9" customFormat="1" ht="16.5" customHeight="1">
      <c r="A228" s="9" t="s">
        <v>59</v>
      </c>
      <c r="B228" s="51"/>
      <c r="C228" s="51"/>
      <c r="D228" s="51"/>
      <c r="E228" s="45"/>
      <c r="F228" s="48"/>
      <c r="G228" s="48"/>
      <c r="H228" s="23" t="s">
        <v>10</v>
      </c>
      <c r="I228" s="11">
        <v>1600000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100000</v>
      </c>
      <c r="P228" s="11">
        <v>1500000</v>
      </c>
      <c r="Q228" s="11">
        <v>0</v>
      </c>
      <c r="R228" s="12">
        <f>SUM(K228:Q228)</f>
        <v>1600000</v>
      </c>
      <c r="S228" s="12">
        <f>I228-J228-R228</f>
        <v>0</v>
      </c>
    </row>
    <row r="229" spans="1:19" s="9" customFormat="1" ht="16.5" customHeight="1">
      <c r="A229" s="9" t="s">
        <v>59</v>
      </c>
      <c r="B229" s="51"/>
      <c r="C229" s="51"/>
      <c r="D229" s="51"/>
      <c r="E229" s="45"/>
      <c r="F229" s="48"/>
      <c r="G229" s="48"/>
      <c r="H229" s="3" t="s">
        <v>46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2">
        <f>SUM(K229:Q229)</f>
        <v>0</v>
      </c>
      <c r="S229" s="12">
        <f>I229-J229-R229</f>
        <v>0</v>
      </c>
    </row>
    <row r="230" spans="1:19" s="9" customFormat="1" ht="16.5" customHeight="1">
      <c r="A230" s="9" t="s">
        <v>59</v>
      </c>
      <c r="B230" s="52"/>
      <c r="C230" s="52"/>
      <c r="D230" s="52"/>
      <c r="E230" s="58"/>
      <c r="F230" s="49"/>
      <c r="G230" s="49"/>
      <c r="H230" s="3" t="s">
        <v>11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2">
        <f>SUM(K230:Q230)</f>
        <v>0</v>
      </c>
      <c r="S230" s="12">
        <f>I230-J230-R230</f>
        <v>0</v>
      </c>
    </row>
    <row r="231" spans="1:19" s="9" customFormat="1" ht="36" customHeight="1">
      <c r="A231" s="9" t="s">
        <v>60</v>
      </c>
      <c r="B231" s="34"/>
      <c r="C231" s="62" t="s">
        <v>49</v>
      </c>
      <c r="D231" s="63"/>
      <c r="E231" s="63"/>
      <c r="F231" s="63"/>
      <c r="G231" s="64"/>
      <c r="H231" s="17" t="s">
        <v>8</v>
      </c>
      <c r="I231" s="18">
        <f>(SUMIF($A$232:$A$239,$A$231,$I232:I$239))/2</f>
        <v>15700000</v>
      </c>
      <c r="J231" s="18">
        <f>(SUMIF($A$232:$A$239,$A$231,$J232:J$239))/2</f>
        <v>0</v>
      </c>
      <c r="K231" s="18">
        <f>(SUMIF($A$232:$A$239,$A$231,$K232:K$239))/2</f>
        <v>0</v>
      </c>
      <c r="L231" s="43">
        <f>(SUMIF($A$232:$A$239,$A$231,$L232:L$239))/2</f>
        <v>1500000</v>
      </c>
      <c r="M231" s="18">
        <f>(SUMIF($A$232:$A$239,$A$231,$M232:M$239))/2</f>
        <v>1600000</v>
      </c>
      <c r="N231" s="18">
        <f>(SUMIF($A$232:$A$239,$A$231,$N232:N$239))/2</f>
        <v>4100000</v>
      </c>
      <c r="O231" s="18">
        <f>(SUMIF($A$232:$A$239,$A$231,$O232:O$239))/2</f>
        <v>8500000</v>
      </c>
      <c r="P231" s="18">
        <f>(SUMIF($A$232:$A$239,$A$231,$P232:P$239))/2</f>
        <v>0</v>
      </c>
      <c r="Q231" s="18">
        <f>(SUMIF($A$232:$A$239,$A$231,$Q232:Q$239))/2</f>
        <v>0</v>
      </c>
      <c r="R231" s="18">
        <f>(SUMIF($A$232:$A$239,$A$231,$R232:R$239))/2</f>
        <v>15700000</v>
      </c>
      <c r="S231" s="18">
        <f>(SUMIF($A$232:$A$239,$A$231,$S232:S$239))/2</f>
        <v>0</v>
      </c>
    </row>
    <row r="232" spans="1:19" ht="16.5" customHeight="1">
      <c r="A232" s="9" t="s">
        <v>60</v>
      </c>
      <c r="B232" s="50">
        <v>96</v>
      </c>
      <c r="C232" s="50">
        <v>55</v>
      </c>
      <c r="D232" s="50">
        <v>53</v>
      </c>
      <c r="E232" s="44" t="s">
        <v>108</v>
      </c>
      <c r="F232" s="47">
        <v>2008</v>
      </c>
      <c r="G232" s="47">
        <v>2011</v>
      </c>
      <c r="H232" s="23" t="s">
        <v>8</v>
      </c>
      <c r="I232" s="10">
        <f>SUBTOTAL(9,I233:I235)</f>
        <v>15100000</v>
      </c>
      <c r="J232" s="10">
        <f>SUBTOTAL(9,J233:J235)</f>
        <v>0</v>
      </c>
      <c r="K232" s="10">
        <f aca="true" t="shared" si="59" ref="K232:S232">SUBTOTAL(9,K233:K235)</f>
        <v>0</v>
      </c>
      <c r="L232" s="40">
        <f t="shared" si="59"/>
        <v>1500000</v>
      </c>
      <c r="M232" s="10">
        <f t="shared" si="59"/>
        <v>1500000</v>
      </c>
      <c r="N232" s="10">
        <f t="shared" si="59"/>
        <v>3600000</v>
      </c>
      <c r="O232" s="10">
        <f t="shared" si="59"/>
        <v>8500000</v>
      </c>
      <c r="P232" s="10">
        <f t="shared" si="59"/>
        <v>0</v>
      </c>
      <c r="Q232" s="10">
        <f t="shared" si="59"/>
        <v>0</v>
      </c>
      <c r="R232" s="10">
        <f t="shared" si="59"/>
        <v>15100000</v>
      </c>
      <c r="S232" s="10">
        <f t="shared" si="59"/>
        <v>0</v>
      </c>
    </row>
    <row r="233" spans="1:19" ht="16.5" customHeight="1">
      <c r="A233" s="9" t="s">
        <v>60</v>
      </c>
      <c r="B233" s="51"/>
      <c r="C233" s="51"/>
      <c r="D233" s="51"/>
      <c r="E233" s="45"/>
      <c r="F233" s="48"/>
      <c r="G233" s="48"/>
      <c r="H233" s="23" t="s">
        <v>10</v>
      </c>
      <c r="I233" s="11">
        <v>6940000</v>
      </c>
      <c r="J233" s="11">
        <v>0</v>
      </c>
      <c r="K233" s="11">
        <v>0</v>
      </c>
      <c r="L233" s="41">
        <v>1500000</v>
      </c>
      <c r="M233" s="11">
        <f>1500000*100%</f>
        <v>1500000</v>
      </c>
      <c r="N233" s="11">
        <v>2700000</v>
      </c>
      <c r="O233" s="11">
        <v>6340000</v>
      </c>
      <c r="P233" s="11">
        <f>(-P234)</f>
        <v>-5100000</v>
      </c>
      <c r="Q233" s="11">
        <v>0</v>
      </c>
      <c r="R233" s="12">
        <f>SUM(K233:Q233)</f>
        <v>6940000</v>
      </c>
      <c r="S233" s="12">
        <f>I233-J233-R233</f>
        <v>0</v>
      </c>
    </row>
    <row r="234" spans="1:19" ht="16.5" customHeight="1">
      <c r="A234" s="9" t="s">
        <v>60</v>
      </c>
      <c r="B234" s="51"/>
      <c r="C234" s="51"/>
      <c r="D234" s="51"/>
      <c r="E234" s="45"/>
      <c r="F234" s="48"/>
      <c r="G234" s="48"/>
      <c r="H234" s="3" t="s">
        <v>46</v>
      </c>
      <c r="I234" s="11">
        <v>8160000</v>
      </c>
      <c r="J234" s="11">
        <v>0</v>
      </c>
      <c r="K234" s="11">
        <v>0</v>
      </c>
      <c r="L234" s="11">
        <v>0</v>
      </c>
      <c r="M234" s="11"/>
      <c r="N234" s="11">
        <f>1500000*60%</f>
        <v>900000</v>
      </c>
      <c r="O234" s="11">
        <f>3600000*60%</f>
        <v>2160000</v>
      </c>
      <c r="P234" s="11">
        <f>8500000*60%</f>
        <v>5100000</v>
      </c>
      <c r="Q234" s="11">
        <v>0</v>
      </c>
      <c r="R234" s="12">
        <f>SUM(K234:Q234)</f>
        <v>8160000</v>
      </c>
      <c r="S234" s="12">
        <f>I234-J234-R234</f>
        <v>0</v>
      </c>
    </row>
    <row r="235" spans="1:19" ht="16.5" customHeight="1">
      <c r="A235" s="9" t="s">
        <v>60</v>
      </c>
      <c r="B235" s="52"/>
      <c r="C235" s="52"/>
      <c r="D235" s="52"/>
      <c r="E235" s="46"/>
      <c r="F235" s="49"/>
      <c r="G235" s="49"/>
      <c r="H235" s="3" t="s">
        <v>11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2">
        <f>SUM(K235:Q235)</f>
        <v>0</v>
      </c>
      <c r="S235" s="12">
        <f>I235-J235-R235</f>
        <v>0</v>
      </c>
    </row>
    <row r="236" spans="1:19" ht="16.5" customHeight="1">
      <c r="A236" s="9" t="s">
        <v>60</v>
      </c>
      <c r="B236" s="51">
        <v>95</v>
      </c>
      <c r="C236" s="51">
        <v>56</v>
      </c>
      <c r="D236" s="50">
        <v>54</v>
      </c>
      <c r="E236" s="54" t="s">
        <v>51</v>
      </c>
      <c r="F236" s="48">
        <v>2009</v>
      </c>
      <c r="G236" s="48">
        <v>2010</v>
      </c>
      <c r="H236" s="23" t="s">
        <v>8</v>
      </c>
      <c r="I236" s="10">
        <f>SUBTOTAL(9,I237:I239)</f>
        <v>600000</v>
      </c>
      <c r="J236" s="10">
        <f>SUBTOTAL(9,J237:J239)</f>
        <v>0</v>
      </c>
      <c r="K236" s="10">
        <f aca="true" t="shared" si="60" ref="K236:S236">SUBTOTAL(9,K237:K239)</f>
        <v>0</v>
      </c>
      <c r="L236" s="40">
        <f t="shared" si="60"/>
        <v>0</v>
      </c>
      <c r="M236" s="10">
        <f t="shared" si="60"/>
        <v>100000</v>
      </c>
      <c r="N236" s="10">
        <f t="shared" si="60"/>
        <v>500000</v>
      </c>
      <c r="O236" s="10">
        <f t="shared" si="60"/>
        <v>0</v>
      </c>
      <c r="P236" s="10">
        <f t="shared" si="60"/>
        <v>0</v>
      </c>
      <c r="Q236" s="10">
        <f t="shared" si="60"/>
        <v>0</v>
      </c>
      <c r="R236" s="10">
        <f t="shared" si="60"/>
        <v>600000</v>
      </c>
      <c r="S236" s="10">
        <f t="shared" si="60"/>
        <v>0</v>
      </c>
    </row>
    <row r="237" spans="1:19" ht="16.5" customHeight="1">
      <c r="A237" s="9" t="s">
        <v>60</v>
      </c>
      <c r="B237" s="51"/>
      <c r="C237" s="51"/>
      <c r="D237" s="51"/>
      <c r="E237" s="54"/>
      <c r="F237" s="48"/>
      <c r="G237" s="48"/>
      <c r="H237" s="23" t="s">
        <v>10</v>
      </c>
      <c r="I237" s="11">
        <v>600000</v>
      </c>
      <c r="J237" s="11">
        <v>0</v>
      </c>
      <c r="K237" s="11">
        <v>0</v>
      </c>
      <c r="L237" s="11">
        <v>0</v>
      </c>
      <c r="M237" s="11">
        <v>100000</v>
      </c>
      <c r="N237" s="11">
        <v>500000</v>
      </c>
      <c r="O237" s="11">
        <v>0</v>
      </c>
      <c r="P237" s="11">
        <v>0</v>
      </c>
      <c r="Q237" s="11">
        <v>0</v>
      </c>
      <c r="R237" s="12">
        <f>SUM(K237:Q237)</f>
        <v>600000</v>
      </c>
      <c r="S237" s="12">
        <f>I237-J237-R237</f>
        <v>0</v>
      </c>
    </row>
    <row r="238" spans="1:19" ht="16.5" customHeight="1">
      <c r="A238" s="9" t="s">
        <v>60</v>
      </c>
      <c r="B238" s="51"/>
      <c r="C238" s="51"/>
      <c r="D238" s="51"/>
      <c r="E238" s="54"/>
      <c r="F238" s="48"/>
      <c r="G238" s="48"/>
      <c r="H238" s="3" t="s">
        <v>46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2">
        <f>SUM(K238:Q238)</f>
        <v>0</v>
      </c>
      <c r="S238" s="12">
        <f>I238-J238-R238</f>
        <v>0</v>
      </c>
    </row>
    <row r="239" spans="1:19" ht="16.5" customHeight="1">
      <c r="A239" s="9" t="s">
        <v>60</v>
      </c>
      <c r="B239" s="52"/>
      <c r="C239" s="52"/>
      <c r="D239" s="52"/>
      <c r="E239" s="55"/>
      <c r="F239" s="49"/>
      <c r="G239" s="49"/>
      <c r="H239" s="3" t="s">
        <v>11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2">
        <f>SUM(K239:Q239)</f>
        <v>0</v>
      </c>
      <c r="S239" s="12">
        <f>I239-J239-R239</f>
        <v>0</v>
      </c>
    </row>
    <row r="240" spans="1:19" s="9" customFormat="1" ht="36" customHeight="1">
      <c r="A240" s="9" t="s">
        <v>61</v>
      </c>
      <c r="B240" s="34"/>
      <c r="C240" s="62" t="s">
        <v>72</v>
      </c>
      <c r="D240" s="63"/>
      <c r="E240" s="63"/>
      <c r="F240" s="63"/>
      <c r="G240" s="64"/>
      <c r="H240" s="17" t="s">
        <v>8</v>
      </c>
      <c r="I240" s="18">
        <f>(SUMIF($A$241:$A$284,$A$240,$I241:I$284))/2</f>
        <v>16380000</v>
      </c>
      <c r="J240" s="18">
        <f>(SUMIF($A$241:$A$284,$A$240,$J241:J$284))/2</f>
        <v>55000</v>
      </c>
      <c r="K240" s="18">
        <f>(SUMIF($A$241:$A$284,$A$240,$K241:K$284))/2</f>
        <v>400000</v>
      </c>
      <c r="L240" s="43">
        <f>(SUMIF($A$241:$A$284,$A$240,$L241:L$284))/2</f>
        <v>3750000</v>
      </c>
      <c r="M240" s="18">
        <f>(SUMIF($A$241:$A$284,$A$240,$M241:M$284))/2</f>
        <v>3500000</v>
      </c>
      <c r="N240" s="18">
        <f>(SUMIF($A$241:$A$284,$A$240,$N241:N$284))/2</f>
        <v>2500000</v>
      </c>
      <c r="O240" s="18">
        <f>(SUMIF($A$241:$A$284,$A$240,$O241:O$284))/2</f>
        <v>500000</v>
      </c>
      <c r="P240" s="18">
        <f>(SUMIF($A$241:$A$284,$A$240,$P241:P$284))/2</f>
        <v>1705000</v>
      </c>
      <c r="Q240" s="18">
        <f>(SUMIF($A$241:$A$284,$A$240,$Q241:Q$284))/2</f>
        <v>2470000</v>
      </c>
      <c r="R240" s="18">
        <f>(SUMIF($A$241:$A$284,$A$240,$R241:R$284))/2</f>
        <v>14825000</v>
      </c>
      <c r="S240" s="18">
        <f>(SUMIF($A$241:$A$284,$A$240,$S241:S$284))/2</f>
        <v>1500000</v>
      </c>
    </row>
    <row r="241" spans="1:19" ht="16.5" customHeight="1">
      <c r="A241" s="9" t="s">
        <v>61</v>
      </c>
      <c r="B241" s="50">
        <v>102</v>
      </c>
      <c r="C241" s="50">
        <v>57</v>
      </c>
      <c r="D241" s="50">
        <v>55</v>
      </c>
      <c r="E241" s="53" t="s">
        <v>96</v>
      </c>
      <c r="F241" s="47">
        <v>2008</v>
      </c>
      <c r="G241" s="47">
        <v>2008</v>
      </c>
      <c r="H241" s="23" t="s">
        <v>8</v>
      </c>
      <c r="I241" s="10">
        <f>SUBTOTAL(9,I242:I244)</f>
        <v>100000</v>
      </c>
      <c r="J241" s="10">
        <f>SUBTOTAL(9,J242:J244)</f>
        <v>0</v>
      </c>
      <c r="K241" s="10">
        <f aca="true" t="shared" si="61" ref="K241:S241">SUBTOTAL(9,K242:K244)</f>
        <v>0</v>
      </c>
      <c r="L241" s="40">
        <f t="shared" si="61"/>
        <v>100000</v>
      </c>
      <c r="M241" s="10">
        <f t="shared" si="61"/>
        <v>0</v>
      </c>
      <c r="N241" s="10">
        <f t="shared" si="61"/>
        <v>0</v>
      </c>
      <c r="O241" s="10">
        <f t="shared" si="61"/>
        <v>0</v>
      </c>
      <c r="P241" s="10">
        <f t="shared" si="61"/>
        <v>0</v>
      </c>
      <c r="Q241" s="10">
        <f t="shared" si="61"/>
        <v>0</v>
      </c>
      <c r="R241" s="10">
        <f t="shared" si="61"/>
        <v>100000</v>
      </c>
      <c r="S241" s="10">
        <f t="shared" si="61"/>
        <v>0</v>
      </c>
    </row>
    <row r="242" spans="1:19" ht="16.5" customHeight="1">
      <c r="A242" s="9" t="s">
        <v>61</v>
      </c>
      <c r="B242" s="51"/>
      <c r="C242" s="51"/>
      <c r="D242" s="51"/>
      <c r="E242" s="54"/>
      <c r="F242" s="48"/>
      <c r="G242" s="48"/>
      <c r="H242" s="23" t="s">
        <v>10</v>
      </c>
      <c r="I242" s="11">
        <v>100000</v>
      </c>
      <c r="J242" s="11">
        <v>0</v>
      </c>
      <c r="K242" s="11">
        <v>0</v>
      </c>
      <c r="L242" s="41">
        <v>100000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2">
        <f>SUM(K242:Q242)</f>
        <v>100000</v>
      </c>
      <c r="S242" s="12">
        <f>I242-J242-R242</f>
        <v>0</v>
      </c>
    </row>
    <row r="243" spans="1:19" ht="16.5" customHeight="1">
      <c r="A243" s="9" t="s">
        <v>61</v>
      </c>
      <c r="B243" s="51"/>
      <c r="C243" s="51"/>
      <c r="D243" s="51"/>
      <c r="E243" s="54"/>
      <c r="F243" s="48"/>
      <c r="G243" s="48"/>
      <c r="H243" s="3" t="s">
        <v>46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2">
        <f>SUM(K243:Q243)</f>
        <v>0</v>
      </c>
      <c r="S243" s="12">
        <f>I243-J243-R243</f>
        <v>0</v>
      </c>
    </row>
    <row r="244" spans="1:19" ht="16.5" customHeight="1">
      <c r="A244" s="9" t="s">
        <v>61</v>
      </c>
      <c r="B244" s="52"/>
      <c r="C244" s="52"/>
      <c r="D244" s="52"/>
      <c r="E244" s="61"/>
      <c r="F244" s="49"/>
      <c r="G244" s="49"/>
      <c r="H244" s="3" t="s">
        <v>11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/>
      <c r="R244" s="12">
        <f>SUM(K244:Q244)</f>
        <v>0</v>
      </c>
      <c r="S244" s="12">
        <f>I244-J244-R244</f>
        <v>0</v>
      </c>
    </row>
    <row r="245" spans="1:19" ht="16.5" customHeight="1">
      <c r="A245" s="9" t="s">
        <v>61</v>
      </c>
      <c r="B245" s="50">
        <v>109</v>
      </c>
      <c r="C245" s="50">
        <v>58</v>
      </c>
      <c r="D245" s="50">
        <v>56</v>
      </c>
      <c r="E245" s="44" t="s">
        <v>98</v>
      </c>
      <c r="F245" s="47">
        <v>2008</v>
      </c>
      <c r="G245" s="47">
        <v>2008</v>
      </c>
      <c r="H245" s="23" t="s">
        <v>8</v>
      </c>
      <c r="I245" s="10">
        <f>SUBTOTAL(9,I246:I248)</f>
        <v>50000</v>
      </c>
      <c r="J245" s="10">
        <f>SUBTOTAL(9,J246:J248)</f>
        <v>0</v>
      </c>
      <c r="K245" s="10">
        <f aca="true" t="shared" si="62" ref="K245:S245">SUBTOTAL(9,K246:K248)</f>
        <v>0</v>
      </c>
      <c r="L245" s="40">
        <f t="shared" si="62"/>
        <v>50000</v>
      </c>
      <c r="M245" s="10">
        <f t="shared" si="62"/>
        <v>0</v>
      </c>
      <c r="N245" s="10">
        <f t="shared" si="62"/>
        <v>0</v>
      </c>
      <c r="O245" s="10">
        <f t="shared" si="62"/>
        <v>0</v>
      </c>
      <c r="P245" s="10">
        <f t="shared" si="62"/>
        <v>0</v>
      </c>
      <c r="Q245" s="10">
        <f t="shared" si="62"/>
        <v>0</v>
      </c>
      <c r="R245" s="10">
        <f t="shared" si="62"/>
        <v>50000</v>
      </c>
      <c r="S245" s="10">
        <f t="shared" si="62"/>
        <v>0</v>
      </c>
    </row>
    <row r="246" spans="1:19" ht="16.5" customHeight="1">
      <c r="A246" s="9" t="s">
        <v>61</v>
      </c>
      <c r="B246" s="51"/>
      <c r="C246" s="51"/>
      <c r="D246" s="51"/>
      <c r="E246" s="45"/>
      <c r="F246" s="48"/>
      <c r="G246" s="48"/>
      <c r="H246" s="23" t="s">
        <v>10</v>
      </c>
      <c r="I246" s="11">
        <v>50000</v>
      </c>
      <c r="J246" s="11">
        <v>0</v>
      </c>
      <c r="K246" s="11">
        <v>0</v>
      </c>
      <c r="L246" s="41">
        <v>50000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2">
        <f>SUM(K246:Q246)</f>
        <v>50000</v>
      </c>
      <c r="S246" s="12">
        <f>I246-J246-R246</f>
        <v>0</v>
      </c>
    </row>
    <row r="247" spans="1:19" ht="16.5" customHeight="1">
      <c r="A247" s="9" t="s">
        <v>61</v>
      </c>
      <c r="B247" s="51"/>
      <c r="C247" s="51"/>
      <c r="D247" s="51"/>
      <c r="E247" s="45"/>
      <c r="F247" s="48"/>
      <c r="G247" s="48"/>
      <c r="H247" s="3" t="s">
        <v>46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2">
        <f>SUM(K247:Q247)</f>
        <v>0</v>
      </c>
      <c r="S247" s="12">
        <f>I247-J247-R247</f>
        <v>0</v>
      </c>
    </row>
    <row r="248" spans="1:19" ht="16.5" customHeight="1">
      <c r="A248" s="9" t="s">
        <v>61</v>
      </c>
      <c r="B248" s="52"/>
      <c r="C248" s="52"/>
      <c r="D248" s="52"/>
      <c r="E248" s="46"/>
      <c r="F248" s="49"/>
      <c r="G248" s="49"/>
      <c r="H248" s="3" t="s">
        <v>11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2">
        <f>SUM(K248:Q248)</f>
        <v>0</v>
      </c>
      <c r="S248" s="12">
        <f>I248-J248-R248</f>
        <v>0</v>
      </c>
    </row>
    <row r="249" spans="1:19" ht="16.5" customHeight="1">
      <c r="A249" s="9" t="s">
        <v>61</v>
      </c>
      <c r="B249" s="50">
        <v>103</v>
      </c>
      <c r="C249" s="50">
        <v>59</v>
      </c>
      <c r="D249" s="50">
        <v>58</v>
      </c>
      <c r="E249" s="53" t="s">
        <v>97</v>
      </c>
      <c r="F249" s="47">
        <v>2008</v>
      </c>
      <c r="G249" s="47">
        <v>2009</v>
      </c>
      <c r="H249" s="23" t="s">
        <v>8</v>
      </c>
      <c r="I249" s="10">
        <f>SUBTOTAL(9,I250:I252)</f>
        <v>200000</v>
      </c>
      <c r="J249" s="10">
        <f>SUBTOTAL(9,J250:J252)</f>
        <v>0</v>
      </c>
      <c r="K249" s="10">
        <f aca="true" t="shared" si="63" ref="K249:S249">SUBTOTAL(9,K250:K252)</f>
        <v>0</v>
      </c>
      <c r="L249" s="40">
        <f t="shared" si="63"/>
        <v>100000</v>
      </c>
      <c r="M249" s="10">
        <f t="shared" si="63"/>
        <v>100000</v>
      </c>
      <c r="N249" s="10">
        <f t="shared" si="63"/>
        <v>0</v>
      </c>
      <c r="O249" s="10">
        <f t="shared" si="63"/>
        <v>0</v>
      </c>
      <c r="P249" s="10">
        <f t="shared" si="63"/>
        <v>0</v>
      </c>
      <c r="Q249" s="10">
        <f t="shared" si="63"/>
        <v>0</v>
      </c>
      <c r="R249" s="10">
        <f t="shared" si="63"/>
        <v>200000</v>
      </c>
      <c r="S249" s="10">
        <f t="shared" si="63"/>
        <v>0</v>
      </c>
    </row>
    <row r="250" spans="1:19" ht="16.5" customHeight="1">
      <c r="A250" s="9" t="s">
        <v>61</v>
      </c>
      <c r="B250" s="51"/>
      <c r="C250" s="51"/>
      <c r="D250" s="51"/>
      <c r="E250" s="54"/>
      <c r="F250" s="48"/>
      <c r="G250" s="48"/>
      <c r="H250" s="23" t="s">
        <v>10</v>
      </c>
      <c r="I250" s="11">
        <v>200000</v>
      </c>
      <c r="J250" s="11">
        <v>0</v>
      </c>
      <c r="K250" s="11">
        <v>0</v>
      </c>
      <c r="L250" s="41">
        <v>100000</v>
      </c>
      <c r="M250" s="11">
        <v>100000</v>
      </c>
      <c r="N250" s="11">
        <v>0</v>
      </c>
      <c r="O250" s="11">
        <v>0</v>
      </c>
      <c r="P250" s="11">
        <v>0</v>
      </c>
      <c r="Q250" s="11">
        <v>0</v>
      </c>
      <c r="R250" s="12">
        <f>SUM(K250:Q250)</f>
        <v>200000</v>
      </c>
      <c r="S250" s="12">
        <f>I250-J250-R250</f>
        <v>0</v>
      </c>
    </row>
    <row r="251" spans="1:19" ht="16.5" customHeight="1">
      <c r="A251" s="9" t="s">
        <v>61</v>
      </c>
      <c r="B251" s="51"/>
      <c r="C251" s="51"/>
      <c r="D251" s="51"/>
      <c r="E251" s="54"/>
      <c r="F251" s="48"/>
      <c r="G251" s="48"/>
      <c r="H251" s="3" t="s">
        <v>46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2">
        <f>SUM(K251:Q251)</f>
        <v>0</v>
      </c>
      <c r="S251" s="12">
        <f>I251-J251-R251</f>
        <v>0</v>
      </c>
    </row>
    <row r="252" spans="1:19" ht="16.5" customHeight="1">
      <c r="A252" s="9" t="s">
        <v>61</v>
      </c>
      <c r="B252" s="52"/>
      <c r="C252" s="52"/>
      <c r="D252" s="52"/>
      <c r="E252" s="61"/>
      <c r="F252" s="49"/>
      <c r="G252" s="49"/>
      <c r="H252" s="3" t="s">
        <v>11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2">
        <f>SUM(K252:Q252)</f>
        <v>0</v>
      </c>
      <c r="S252" s="12">
        <f>I252-J252-R252</f>
        <v>0</v>
      </c>
    </row>
    <row r="253" spans="1:19" ht="16.5" customHeight="1">
      <c r="A253" s="9" t="s">
        <v>61</v>
      </c>
      <c r="B253" s="50">
        <v>107</v>
      </c>
      <c r="C253" s="50">
        <v>60</v>
      </c>
      <c r="D253" s="50">
        <v>59</v>
      </c>
      <c r="E253" s="44" t="s">
        <v>69</v>
      </c>
      <c r="F253" s="47">
        <v>2008</v>
      </c>
      <c r="G253" s="47">
        <v>2009</v>
      </c>
      <c r="H253" s="23" t="s">
        <v>8</v>
      </c>
      <c r="I253" s="10">
        <f>SUBTOTAL(9,I254:I256)</f>
        <v>400000</v>
      </c>
      <c r="J253" s="10">
        <f>SUBTOTAL(9,J254:J256)</f>
        <v>0</v>
      </c>
      <c r="K253" s="10">
        <f aca="true" t="shared" si="64" ref="K253:S253">SUBTOTAL(9,K254:K256)</f>
        <v>0</v>
      </c>
      <c r="L253" s="40">
        <f t="shared" si="64"/>
        <v>100000</v>
      </c>
      <c r="M253" s="10">
        <f t="shared" si="64"/>
        <v>300000</v>
      </c>
      <c r="N253" s="10">
        <f t="shared" si="64"/>
        <v>0</v>
      </c>
      <c r="O253" s="10">
        <f t="shared" si="64"/>
        <v>0</v>
      </c>
      <c r="P253" s="10">
        <f t="shared" si="64"/>
        <v>0</v>
      </c>
      <c r="Q253" s="10">
        <f t="shared" si="64"/>
        <v>0</v>
      </c>
      <c r="R253" s="10">
        <f t="shared" si="64"/>
        <v>400000</v>
      </c>
      <c r="S253" s="10">
        <f t="shared" si="64"/>
        <v>0</v>
      </c>
    </row>
    <row r="254" spans="1:19" ht="16.5" customHeight="1">
      <c r="A254" s="9" t="s">
        <v>61</v>
      </c>
      <c r="B254" s="51"/>
      <c r="C254" s="51"/>
      <c r="D254" s="51"/>
      <c r="E254" s="45"/>
      <c r="F254" s="48"/>
      <c r="G254" s="48"/>
      <c r="H254" s="23" t="s">
        <v>10</v>
      </c>
      <c r="I254" s="11">
        <v>160000</v>
      </c>
      <c r="J254" s="11">
        <v>0</v>
      </c>
      <c r="K254" s="11">
        <v>0</v>
      </c>
      <c r="L254" s="41">
        <f>100000*100%</f>
        <v>100000</v>
      </c>
      <c r="M254" s="11">
        <v>240000</v>
      </c>
      <c r="N254" s="11">
        <f>(-N255)</f>
        <v>-180000</v>
      </c>
      <c r="O254" s="11">
        <v>0</v>
      </c>
      <c r="P254" s="11">
        <v>0</v>
      </c>
      <c r="Q254" s="11">
        <v>0</v>
      </c>
      <c r="R254" s="12">
        <f>SUM(K254:Q254)</f>
        <v>160000</v>
      </c>
      <c r="S254" s="12">
        <f>I254-J254-R254</f>
        <v>0</v>
      </c>
    </row>
    <row r="255" spans="1:19" ht="16.5" customHeight="1">
      <c r="A255" s="9" t="s">
        <v>61</v>
      </c>
      <c r="B255" s="51"/>
      <c r="C255" s="51"/>
      <c r="D255" s="51"/>
      <c r="E255" s="45"/>
      <c r="F255" s="48"/>
      <c r="G255" s="48"/>
      <c r="H255" s="3" t="s">
        <v>46</v>
      </c>
      <c r="I255" s="11">
        <v>240000</v>
      </c>
      <c r="J255" s="11">
        <v>0</v>
      </c>
      <c r="K255" s="11">
        <v>0</v>
      </c>
      <c r="L255" s="41"/>
      <c r="M255" s="41">
        <f>100000*60%</f>
        <v>60000</v>
      </c>
      <c r="N255" s="11">
        <f>300000*60%</f>
        <v>180000</v>
      </c>
      <c r="O255" s="11">
        <v>0</v>
      </c>
      <c r="P255" s="11">
        <v>0</v>
      </c>
      <c r="Q255" s="11">
        <v>0</v>
      </c>
      <c r="R255" s="12">
        <f>SUM(K255:Q255)</f>
        <v>240000</v>
      </c>
      <c r="S255" s="12">
        <f>I255-J255-R255</f>
        <v>0</v>
      </c>
    </row>
    <row r="256" spans="1:19" ht="20.25" customHeight="1">
      <c r="A256" s="9" t="s">
        <v>61</v>
      </c>
      <c r="B256" s="52"/>
      <c r="C256" s="52"/>
      <c r="D256" s="52"/>
      <c r="E256" s="58"/>
      <c r="F256" s="49"/>
      <c r="G256" s="49"/>
      <c r="H256" s="3" t="s">
        <v>11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2">
        <f>SUM(K256:Q256)</f>
        <v>0</v>
      </c>
      <c r="S256" s="12">
        <f>I256-J256-R256</f>
        <v>0</v>
      </c>
    </row>
    <row r="257" spans="1:19" ht="16.5" customHeight="1">
      <c r="A257" s="9" t="s">
        <v>61</v>
      </c>
      <c r="B257" s="50">
        <v>98</v>
      </c>
      <c r="C257" s="50">
        <v>61</v>
      </c>
      <c r="D257" s="50">
        <v>60</v>
      </c>
      <c r="E257" s="57" t="s">
        <v>66</v>
      </c>
      <c r="F257" s="47">
        <v>2007</v>
      </c>
      <c r="G257" s="47">
        <v>2009</v>
      </c>
      <c r="H257" s="23" t="s">
        <v>8</v>
      </c>
      <c r="I257" s="10">
        <f>SUBTOTAL(9,I258:I260)</f>
        <v>1500000</v>
      </c>
      <c r="J257" s="10">
        <f>SUBTOTAL(9,J258:J260)</f>
        <v>0</v>
      </c>
      <c r="K257" s="10">
        <f aca="true" t="shared" si="65" ref="K257:S257">SUBTOTAL(9,K258:K260)</f>
        <v>100000</v>
      </c>
      <c r="L257" s="40">
        <f t="shared" si="65"/>
        <v>400000</v>
      </c>
      <c r="M257" s="10">
        <f t="shared" si="65"/>
        <v>1000000</v>
      </c>
      <c r="N257" s="10">
        <f t="shared" si="65"/>
        <v>0</v>
      </c>
      <c r="O257" s="10">
        <f t="shared" si="65"/>
        <v>0</v>
      </c>
      <c r="P257" s="10">
        <f t="shared" si="65"/>
        <v>0</v>
      </c>
      <c r="Q257" s="10">
        <f t="shared" si="65"/>
        <v>0</v>
      </c>
      <c r="R257" s="10">
        <f t="shared" si="65"/>
        <v>1500000</v>
      </c>
      <c r="S257" s="10">
        <f t="shared" si="65"/>
        <v>0</v>
      </c>
    </row>
    <row r="258" spans="1:19" ht="16.5" customHeight="1">
      <c r="A258" s="9" t="s">
        <v>61</v>
      </c>
      <c r="B258" s="51"/>
      <c r="C258" s="51"/>
      <c r="D258" s="51"/>
      <c r="E258" s="45"/>
      <c r="F258" s="48"/>
      <c r="G258" s="48"/>
      <c r="H258" s="23" t="s">
        <v>10</v>
      </c>
      <c r="I258" s="11">
        <v>660000</v>
      </c>
      <c r="J258" s="11">
        <v>0</v>
      </c>
      <c r="K258" s="11">
        <v>100000</v>
      </c>
      <c r="L258" s="41">
        <f>400000*100%</f>
        <v>400000</v>
      </c>
      <c r="M258" s="11">
        <v>760000</v>
      </c>
      <c r="N258" s="11">
        <f>(-N259)</f>
        <v>-600000</v>
      </c>
      <c r="O258" s="11">
        <v>0</v>
      </c>
      <c r="P258" s="11">
        <v>0</v>
      </c>
      <c r="Q258" s="11">
        <v>0</v>
      </c>
      <c r="R258" s="12">
        <f>SUM(K258:Q258)</f>
        <v>660000</v>
      </c>
      <c r="S258" s="12">
        <f>I258-J258-R258</f>
        <v>0</v>
      </c>
    </row>
    <row r="259" spans="1:19" ht="16.5" customHeight="1">
      <c r="A259" s="9" t="s">
        <v>61</v>
      </c>
      <c r="B259" s="51"/>
      <c r="C259" s="51"/>
      <c r="D259" s="51"/>
      <c r="E259" s="45"/>
      <c r="F259" s="48"/>
      <c r="G259" s="48"/>
      <c r="H259" s="3" t="s">
        <v>46</v>
      </c>
      <c r="I259" s="11">
        <v>840000</v>
      </c>
      <c r="J259" s="11">
        <v>0</v>
      </c>
      <c r="K259" s="11">
        <v>0</v>
      </c>
      <c r="L259" s="41"/>
      <c r="M259" s="41">
        <f>400000*60%</f>
        <v>240000</v>
      </c>
      <c r="N259" s="11">
        <f>1000000*60%</f>
        <v>600000</v>
      </c>
      <c r="O259" s="11">
        <v>0</v>
      </c>
      <c r="P259" s="11">
        <v>0</v>
      </c>
      <c r="Q259" s="11">
        <v>0</v>
      </c>
      <c r="R259" s="12">
        <f>SUM(K259:Q259)</f>
        <v>840000</v>
      </c>
      <c r="S259" s="12">
        <f>I259-J259-R259</f>
        <v>0</v>
      </c>
    </row>
    <row r="260" spans="1:19" ht="16.5" customHeight="1">
      <c r="A260" s="9" t="s">
        <v>61</v>
      </c>
      <c r="B260" s="52"/>
      <c r="C260" s="52"/>
      <c r="D260" s="52"/>
      <c r="E260" s="58"/>
      <c r="F260" s="49"/>
      <c r="G260" s="49"/>
      <c r="H260" s="3" t="s">
        <v>11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2">
        <f>SUM(K260:Q260)</f>
        <v>0</v>
      </c>
      <c r="S260" s="12">
        <f>I260-J260-R260</f>
        <v>0</v>
      </c>
    </row>
    <row r="261" spans="1:19" ht="16.5" customHeight="1">
      <c r="A261" s="9" t="s">
        <v>61</v>
      </c>
      <c r="B261" s="50">
        <v>99</v>
      </c>
      <c r="C261" s="50">
        <v>62</v>
      </c>
      <c r="D261" s="50">
        <v>61</v>
      </c>
      <c r="E261" s="44" t="s">
        <v>95</v>
      </c>
      <c r="F261" s="47">
        <v>2006</v>
      </c>
      <c r="G261" s="47">
        <v>2010</v>
      </c>
      <c r="H261" s="23" t="s">
        <v>8</v>
      </c>
      <c r="I261" s="10">
        <f>SUBTOTAL(9,I262:I264)</f>
        <v>6555000</v>
      </c>
      <c r="J261" s="10">
        <f>SUBTOTAL(9,J262:J264)</f>
        <v>55000</v>
      </c>
      <c r="K261" s="10">
        <f aca="true" t="shared" si="66" ref="K261:S261">SUBTOTAL(9,K262:K264)</f>
        <v>300000</v>
      </c>
      <c r="L261" s="40">
        <f t="shared" si="66"/>
        <v>3000000</v>
      </c>
      <c r="M261" s="10">
        <f t="shared" si="66"/>
        <v>1000000</v>
      </c>
      <c r="N261" s="10">
        <f t="shared" si="66"/>
        <v>2200000</v>
      </c>
      <c r="O261" s="10">
        <f t="shared" si="66"/>
        <v>0</v>
      </c>
      <c r="P261" s="10">
        <f t="shared" si="66"/>
        <v>0</v>
      </c>
      <c r="Q261" s="10">
        <f t="shared" si="66"/>
        <v>0</v>
      </c>
      <c r="R261" s="10">
        <f t="shared" si="66"/>
        <v>6500000</v>
      </c>
      <c r="S261" s="10">
        <f t="shared" si="66"/>
        <v>0</v>
      </c>
    </row>
    <row r="262" spans="1:19" ht="16.5" customHeight="1">
      <c r="A262" s="9" t="s">
        <v>61</v>
      </c>
      <c r="B262" s="51"/>
      <c r="C262" s="51"/>
      <c r="D262" s="51"/>
      <c r="E262" s="45"/>
      <c r="F262" s="48"/>
      <c r="G262" s="48"/>
      <c r="H262" s="23" t="s">
        <v>10</v>
      </c>
      <c r="I262" s="11">
        <v>2835000</v>
      </c>
      <c r="J262" s="11">
        <v>55000</v>
      </c>
      <c r="K262" s="11">
        <v>300000</v>
      </c>
      <c r="L262" s="41">
        <f>3000000*100%</f>
        <v>3000000</v>
      </c>
      <c r="M262" s="11">
        <f>(-800000)</f>
        <v>-800000</v>
      </c>
      <c r="N262" s="11">
        <v>1600000</v>
      </c>
      <c r="O262" s="11">
        <f>(-O263)</f>
        <v>-1320000</v>
      </c>
      <c r="P262" s="11">
        <v>0</v>
      </c>
      <c r="Q262" s="11">
        <v>0</v>
      </c>
      <c r="R262" s="12">
        <f>SUM(K262:Q262)</f>
        <v>2780000</v>
      </c>
      <c r="S262" s="12">
        <f>I262-J262-R262</f>
        <v>0</v>
      </c>
    </row>
    <row r="263" spans="1:19" ht="16.5" customHeight="1">
      <c r="A263" s="9" t="s">
        <v>61</v>
      </c>
      <c r="B263" s="51"/>
      <c r="C263" s="51"/>
      <c r="D263" s="51"/>
      <c r="E263" s="45"/>
      <c r="F263" s="48"/>
      <c r="G263" s="48"/>
      <c r="H263" s="3" t="s">
        <v>46</v>
      </c>
      <c r="I263" s="11">
        <v>3720000</v>
      </c>
      <c r="J263" s="11">
        <v>0</v>
      </c>
      <c r="K263" s="11">
        <v>0</v>
      </c>
      <c r="L263" s="41"/>
      <c r="M263" s="41">
        <f>3000000*60%</f>
        <v>1800000</v>
      </c>
      <c r="N263" s="11">
        <f>1000000*60%</f>
        <v>600000</v>
      </c>
      <c r="O263" s="11">
        <v>1320000</v>
      </c>
      <c r="P263" s="11">
        <v>0</v>
      </c>
      <c r="Q263" s="11">
        <v>0</v>
      </c>
      <c r="R263" s="12">
        <f>SUM(K263:Q263)</f>
        <v>3720000</v>
      </c>
      <c r="S263" s="12">
        <f>I263-J263-R263</f>
        <v>0</v>
      </c>
    </row>
    <row r="264" spans="1:19" ht="16.5" customHeight="1">
      <c r="A264" s="9" t="s">
        <v>61</v>
      </c>
      <c r="B264" s="52"/>
      <c r="C264" s="52"/>
      <c r="D264" s="52"/>
      <c r="E264" s="58"/>
      <c r="F264" s="49"/>
      <c r="G264" s="49"/>
      <c r="H264" s="3" t="s">
        <v>11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2">
        <f>SUM(K264:Q264)</f>
        <v>0</v>
      </c>
      <c r="S264" s="12">
        <f>I264-J264-R264</f>
        <v>0</v>
      </c>
    </row>
    <row r="265" spans="1:19" ht="16.5" customHeight="1">
      <c r="A265" s="9" t="s">
        <v>61</v>
      </c>
      <c r="B265" s="50">
        <v>97</v>
      </c>
      <c r="C265" s="50">
        <v>63</v>
      </c>
      <c r="D265" s="50">
        <v>57</v>
      </c>
      <c r="E265" s="53" t="s">
        <v>50</v>
      </c>
      <c r="F265" s="47">
        <v>2009</v>
      </c>
      <c r="G265" s="47">
        <v>2009</v>
      </c>
      <c r="H265" s="23" t="s">
        <v>8</v>
      </c>
      <c r="I265" s="10">
        <f>SUBTOTAL(9,I266:I268)</f>
        <v>1000000</v>
      </c>
      <c r="J265" s="10">
        <f>SUBTOTAL(9,J266:J268)</f>
        <v>0</v>
      </c>
      <c r="K265" s="10">
        <f>SUBTOTAL(9,K266:K268)</f>
        <v>0</v>
      </c>
      <c r="L265" s="40">
        <f>SUBTOTAL(9,L266:L268)</f>
        <v>0</v>
      </c>
      <c r="M265" s="10">
        <f>SUBTOTAL(9,M266:M268)</f>
        <v>1000000</v>
      </c>
      <c r="N265" s="10">
        <f aca="true" t="shared" si="67" ref="N265:S265">SUBTOTAL(9,N266:N268)</f>
        <v>0</v>
      </c>
      <c r="O265" s="10">
        <f t="shared" si="67"/>
        <v>0</v>
      </c>
      <c r="P265" s="10">
        <f t="shared" si="67"/>
        <v>0</v>
      </c>
      <c r="Q265" s="10">
        <f t="shared" si="67"/>
        <v>0</v>
      </c>
      <c r="R265" s="10">
        <f t="shared" si="67"/>
        <v>1000000</v>
      </c>
      <c r="S265" s="10">
        <f t="shared" si="67"/>
        <v>0</v>
      </c>
    </row>
    <row r="266" spans="1:19" ht="16.5" customHeight="1">
      <c r="A266" s="9" t="s">
        <v>61</v>
      </c>
      <c r="B266" s="51"/>
      <c r="C266" s="51"/>
      <c r="D266" s="51"/>
      <c r="E266" s="54"/>
      <c r="F266" s="48"/>
      <c r="G266" s="48"/>
      <c r="H266" s="23" t="s">
        <v>10</v>
      </c>
      <c r="I266" s="11">
        <v>1000000</v>
      </c>
      <c r="J266" s="11">
        <v>0</v>
      </c>
      <c r="K266" s="11">
        <v>0</v>
      </c>
      <c r="L266" s="11">
        <v>0</v>
      </c>
      <c r="M266" s="11">
        <v>1000000</v>
      </c>
      <c r="N266" s="11">
        <v>0</v>
      </c>
      <c r="O266" s="11">
        <v>0</v>
      </c>
      <c r="P266" s="11">
        <v>0</v>
      </c>
      <c r="Q266" s="11">
        <v>0</v>
      </c>
      <c r="R266" s="12">
        <f>SUM(K266:Q266)</f>
        <v>1000000</v>
      </c>
      <c r="S266" s="12">
        <f>I266-J266-R266</f>
        <v>0</v>
      </c>
    </row>
    <row r="267" spans="1:19" ht="16.5" customHeight="1">
      <c r="A267" s="9" t="s">
        <v>61</v>
      </c>
      <c r="B267" s="51"/>
      <c r="C267" s="51"/>
      <c r="D267" s="51"/>
      <c r="E267" s="54"/>
      <c r="F267" s="48"/>
      <c r="G267" s="48"/>
      <c r="H267" s="3" t="s">
        <v>46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2">
        <f>SUM(K267:Q267)</f>
        <v>0</v>
      </c>
      <c r="S267" s="12">
        <f>I267-J267-R267</f>
        <v>0</v>
      </c>
    </row>
    <row r="268" spans="1:19" ht="16.5" customHeight="1">
      <c r="A268" s="9" t="s">
        <v>61</v>
      </c>
      <c r="B268" s="52"/>
      <c r="C268" s="52"/>
      <c r="D268" s="52"/>
      <c r="E268" s="61"/>
      <c r="F268" s="49"/>
      <c r="G268" s="49"/>
      <c r="H268" s="3" t="s">
        <v>11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2">
        <f>SUM(K268:Q268)</f>
        <v>0</v>
      </c>
      <c r="S268" s="12">
        <f>I268-J268-R268</f>
        <v>0</v>
      </c>
    </row>
    <row r="269" spans="1:19" ht="16.5" customHeight="1">
      <c r="A269" s="9" t="s">
        <v>61</v>
      </c>
      <c r="B269" s="50">
        <v>100</v>
      </c>
      <c r="C269" s="50">
        <v>64</v>
      </c>
      <c r="D269" s="50">
        <v>62</v>
      </c>
      <c r="E269" s="57" t="s">
        <v>101</v>
      </c>
      <c r="F269" s="47">
        <v>2009</v>
      </c>
      <c r="G269" s="47" t="s">
        <v>91</v>
      </c>
      <c r="H269" s="23" t="s">
        <v>8</v>
      </c>
      <c r="I269" s="10">
        <f>SUBTOTAL(9,I270:I272)</f>
        <v>2800000</v>
      </c>
      <c r="J269" s="10">
        <f>SUBTOTAL(9,J270:J272)</f>
        <v>0</v>
      </c>
      <c r="K269" s="10">
        <f aca="true" t="shared" si="68" ref="K269:S269">SUBTOTAL(9,K270:K272)</f>
        <v>0</v>
      </c>
      <c r="L269" s="40">
        <f t="shared" si="68"/>
        <v>0</v>
      </c>
      <c r="M269" s="10">
        <f t="shared" si="68"/>
        <v>100000</v>
      </c>
      <c r="N269" s="10">
        <f t="shared" si="68"/>
        <v>300000</v>
      </c>
      <c r="O269" s="10">
        <f t="shared" si="68"/>
        <v>300000</v>
      </c>
      <c r="P269" s="10">
        <f t="shared" si="68"/>
        <v>300000</v>
      </c>
      <c r="Q269" s="10">
        <f t="shared" si="68"/>
        <v>300000</v>
      </c>
      <c r="R269" s="10">
        <f t="shared" si="68"/>
        <v>1300000</v>
      </c>
      <c r="S269" s="10">
        <f t="shared" si="68"/>
        <v>1500000</v>
      </c>
    </row>
    <row r="270" spans="1:19" ht="16.5" customHeight="1">
      <c r="A270" s="9" t="s">
        <v>61</v>
      </c>
      <c r="B270" s="51"/>
      <c r="C270" s="51"/>
      <c r="D270" s="51"/>
      <c r="E270" s="45"/>
      <c r="F270" s="48"/>
      <c r="G270" s="48"/>
      <c r="H270" s="23" t="s">
        <v>10</v>
      </c>
      <c r="I270" s="11">
        <v>2800000</v>
      </c>
      <c r="J270" s="11">
        <v>0</v>
      </c>
      <c r="K270" s="11">
        <v>0</v>
      </c>
      <c r="L270" s="11">
        <v>0</v>
      </c>
      <c r="M270" s="11">
        <v>100000</v>
      </c>
      <c r="N270" s="11">
        <v>300000</v>
      </c>
      <c r="O270" s="11">
        <v>300000</v>
      </c>
      <c r="P270" s="11">
        <v>300000</v>
      </c>
      <c r="Q270" s="11">
        <v>300000</v>
      </c>
      <c r="R270" s="12">
        <f>SUM(K270:Q270)</f>
        <v>1300000</v>
      </c>
      <c r="S270" s="12">
        <f>I270-J270-R270</f>
        <v>1500000</v>
      </c>
    </row>
    <row r="271" spans="1:19" ht="16.5" customHeight="1">
      <c r="A271" s="9" t="s">
        <v>61</v>
      </c>
      <c r="B271" s="51"/>
      <c r="C271" s="51"/>
      <c r="D271" s="51"/>
      <c r="E271" s="45"/>
      <c r="F271" s="48"/>
      <c r="G271" s="48"/>
      <c r="H271" s="3" t="s">
        <v>46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2">
        <f>SUM(K271:Q271)</f>
        <v>0</v>
      </c>
      <c r="S271" s="12">
        <f>I271-J271-R271</f>
        <v>0</v>
      </c>
    </row>
    <row r="272" spans="1:19" ht="16.5" customHeight="1">
      <c r="A272" s="9" t="s">
        <v>61</v>
      </c>
      <c r="B272" s="52"/>
      <c r="C272" s="52"/>
      <c r="D272" s="52"/>
      <c r="E272" s="58"/>
      <c r="F272" s="49"/>
      <c r="G272" s="49"/>
      <c r="H272" s="3" t="s">
        <v>11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2">
        <f>SUM(K272:Q272)</f>
        <v>0</v>
      </c>
      <c r="S272" s="12">
        <f>I272-J272-R272</f>
        <v>0</v>
      </c>
    </row>
    <row r="273" spans="1:19" ht="16.5" customHeight="1">
      <c r="A273" s="9" t="s">
        <v>61</v>
      </c>
      <c r="B273" s="50">
        <v>104</v>
      </c>
      <c r="C273" s="50">
        <v>65</v>
      </c>
      <c r="D273" s="50">
        <v>63</v>
      </c>
      <c r="E273" s="57" t="s">
        <v>106</v>
      </c>
      <c r="F273" s="47">
        <v>2011</v>
      </c>
      <c r="G273" s="47">
        <v>2013</v>
      </c>
      <c r="H273" s="23" t="s">
        <v>8</v>
      </c>
      <c r="I273" s="10">
        <f>SUBTOTAL(9,I274:I276)</f>
        <v>3500000</v>
      </c>
      <c r="J273" s="10">
        <f>SUBTOTAL(9,J274:J276)</f>
        <v>0</v>
      </c>
      <c r="K273" s="10">
        <f aca="true" t="shared" si="69" ref="K273:S273">SUBTOTAL(9,K274:K276)</f>
        <v>0</v>
      </c>
      <c r="L273" s="40">
        <f t="shared" si="69"/>
        <v>0</v>
      </c>
      <c r="M273" s="10">
        <f t="shared" si="69"/>
        <v>0</v>
      </c>
      <c r="N273" s="10">
        <f t="shared" si="69"/>
        <v>0</v>
      </c>
      <c r="O273" s="10">
        <f>SUBTOTAL(9,O274:O276)</f>
        <v>200000</v>
      </c>
      <c r="P273" s="10">
        <f>SUBTOTAL(9,P274:P276)</f>
        <v>1300000</v>
      </c>
      <c r="Q273" s="10">
        <f>SUBTOTAL(9,Q274:Q276)</f>
        <v>2000000</v>
      </c>
      <c r="R273" s="10">
        <f t="shared" si="69"/>
        <v>3500000</v>
      </c>
      <c r="S273" s="10">
        <f t="shared" si="69"/>
        <v>0</v>
      </c>
    </row>
    <row r="274" spans="1:19" ht="16.5" customHeight="1">
      <c r="A274" s="9" t="s">
        <v>61</v>
      </c>
      <c r="B274" s="51"/>
      <c r="C274" s="51"/>
      <c r="D274" s="51"/>
      <c r="E274" s="45"/>
      <c r="F274" s="48"/>
      <c r="G274" s="48"/>
      <c r="H274" s="23" t="s">
        <v>10</v>
      </c>
      <c r="I274" s="11">
        <v>1400000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f>200000*100%</f>
        <v>200000</v>
      </c>
      <c r="P274" s="11">
        <v>1180000</v>
      </c>
      <c r="Q274" s="11">
        <v>1220000</v>
      </c>
      <c r="R274" s="12">
        <f>SUM(K274:Q274)</f>
        <v>2600000</v>
      </c>
      <c r="S274" s="12">
        <f>I274-J274-R274</f>
        <v>-1200000</v>
      </c>
    </row>
    <row r="275" spans="1:19" ht="16.5" customHeight="1">
      <c r="A275" s="9" t="s">
        <v>61</v>
      </c>
      <c r="B275" s="51"/>
      <c r="C275" s="51"/>
      <c r="D275" s="51"/>
      <c r="E275" s="45"/>
      <c r="F275" s="48"/>
      <c r="G275" s="48"/>
      <c r="H275" s="3" t="s">
        <v>46</v>
      </c>
      <c r="I275" s="11">
        <v>2100000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/>
      <c r="P275" s="11">
        <f>200000*60%</f>
        <v>120000</v>
      </c>
      <c r="Q275" s="11">
        <f>1300000*60%</f>
        <v>780000</v>
      </c>
      <c r="R275" s="12">
        <f>SUM(K275:Q275)</f>
        <v>900000</v>
      </c>
      <c r="S275" s="12">
        <f>I275-J275-R275</f>
        <v>1200000</v>
      </c>
    </row>
    <row r="276" spans="1:19" ht="16.5" customHeight="1">
      <c r="A276" s="9" t="s">
        <v>61</v>
      </c>
      <c r="B276" s="52"/>
      <c r="C276" s="52"/>
      <c r="D276" s="52"/>
      <c r="E276" s="46"/>
      <c r="F276" s="49"/>
      <c r="G276" s="49"/>
      <c r="H276" s="3" t="s">
        <v>11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2">
        <f>SUM(K276:Q276)</f>
        <v>0</v>
      </c>
      <c r="S276" s="12">
        <f>I276-J276-R276</f>
        <v>0</v>
      </c>
    </row>
    <row r="277" spans="1:19" ht="16.5" customHeight="1">
      <c r="A277" s="9" t="s">
        <v>61</v>
      </c>
      <c r="B277" s="50">
        <v>108</v>
      </c>
      <c r="C277" s="50">
        <v>66</v>
      </c>
      <c r="D277" s="50">
        <v>64</v>
      </c>
      <c r="E277" s="80" t="s">
        <v>52</v>
      </c>
      <c r="F277" s="47">
        <v>2012</v>
      </c>
      <c r="G277" s="47">
        <v>2013</v>
      </c>
      <c r="H277" s="23" t="s">
        <v>8</v>
      </c>
      <c r="I277" s="10">
        <f>SUBTOTAL(9,I278:I280)</f>
        <v>75000</v>
      </c>
      <c r="J277" s="10">
        <f>SUBTOTAL(9,J278:J280)</f>
        <v>0</v>
      </c>
      <c r="K277" s="10">
        <f aca="true" t="shared" si="70" ref="K277:S277">SUBTOTAL(9,K278:K280)</f>
        <v>0</v>
      </c>
      <c r="L277" s="40">
        <f t="shared" si="70"/>
        <v>0</v>
      </c>
      <c r="M277" s="10">
        <f t="shared" si="70"/>
        <v>0</v>
      </c>
      <c r="N277" s="10">
        <f t="shared" si="70"/>
        <v>0</v>
      </c>
      <c r="O277" s="10">
        <f t="shared" si="70"/>
        <v>0</v>
      </c>
      <c r="P277" s="10">
        <f t="shared" si="70"/>
        <v>5000</v>
      </c>
      <c r="Q277" s="10">
        <f t="shared" si="70"/>
        <v>70000</v>
      </c>
      <c r="R277" s="10">
        <f t="shared" si="70"/>
        <v>75000</v>
      </c>
      <c r="S277" s="10">
        <f t="shared" si="70"/>
        <v>0</v>
      </c>
    </row>
    <row r="278" spans="1:19" ht="16.5" customHeight="1">
      <c r="A278" s="9" t="s">
        <v>61</v>
      </c>
      <c r="B278" s="51"/>
      <c r="C278" s="51"/>
      <c r="D278" s="51"/>
      <c r="E278" s="54"/>
      <c r="F278" s="48"/>
      <c r="G278" s="48"/>
      <c r="H278" s="23" t="s">
        <v>10</v>
      </c>
      <c r="I278" s="11">
        <v>30000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f>5000*100%</f>
        <v>5000</v>
      </c>
      <c r="Q278" s="11">
        <v>67000</v>
      </c>
      <c r="R278" s="12">
        <f>SUM(K278:Q278)</f>
        <v>72000</v>
      </c>
      <c r="S278" s="12">
        <f>I278-J278-R278</f>
        <v>-42000</v>
      </c>
    </row>
    <row r="279" spans="1:19" ht="16.5" customHeight="1">
      <c r="A279" s="9" t="s">
        <v>61</v>
      </c>
      <c r="B279" s="51"/>
      <c r="C279" s="51"/>
      <c r="D279" s="51"/>
      <c r="E279" s="54"/>
      <c r="F279" s="48"/>
      <c r="G279" s="48"/>
      <c r="H279" s="3" t="s">
        <v>46</v>
      </c>
      <c r="I279" s="11">
        <v>45000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/>
      <c r="Q279" s="11">
        <f>5000*60%</f>
        <v>3000</v>
      </c>
      <c r="R279" s="12">
        <f>SUM(K279:Q279)</f>
        <v>3000</v>
      </c>
      <c r="S279" s="12">
        <f>I279-J279-R279</f>
        <v>42000</v>
      </c>
    </row>
    <row r="280" spans="1:19" ht="16.5" customHeight="1">
      <c r="A280" s="9" t="s">
        <v>61</v>
      </c>
      <c r="B280" s="52"/>
      <c r="C280" s="52"/>
      <c r="D280" s="52"/>
      <c r="E280" s="55"/>
      <c r="F280" s="49"/>
      <c r="G280" s="49"/>
      <c r="H280" s="3" t="s">
        <v>11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2">
        <f>SUM(K280:Q280)</f>
        <v>0</v>
      </c>
      <c r="S280" s="12">
        <f>I280-J280-R280</f>
        <v>0</v>
      </c>
    </row>
    <row r="281" spans="1:19" ht="16.5" customHeight="1">
      <c r="A281" s="9" t="s">
        <v>61</v>
      </c>
      <c r="B281" s="50">
        <v>109</v>
      </c>
      <c r="C281" s="50">
        <v>67</v>
      </c>
      <c r="D281" s="50">
        <v>65</v>
      </c>
      <c r="E281" s="80" t="s">
        <v>53</v>
      </c>
      <c r="F281" s="47">
        <v>2012</v>
      </c>
      <c r="G281" s="47">
        <v>2013</v>
      </c>
      <c r="H281" s="23" t="s">
        <v>8</v>
      </c>
      <c r="I281" s="10">
        <f>SUBTOTAL(9,I282:I284)</f>
        <v>200000</v>
      </c>
      <c r="J281" s="10">
        <f>SUBTOTAL(9,J282:J284)</f>
        <v>0</v>
      </c>
      <c r="K281" s="10">
        <f aca="true" t="shared" si="71" ref="K281:S281">SUBTOTAL(9,K282:K284)</f>
        <v>0</v>
      </c>
      <c r="L281" s="40">
        <f t="shared" si="71"/>
        <v>0</v>
      </c>
      <c r="M281" s="10">
        <f t="shared" si="71"/>
        <v>0</v>
      </c>
      <c r="N281" s="10">
        <f t="shared" si="71"/>
        <v>0</v>
      </c>
      <c r="O281" s="10">
        <f t="shared" si="71"/>
        <v>0</v>
      </c>
      <c r="P281" s="10">
        <f t="shared" si="71"/>
        <v>100000</v>
      </c>
      <c r="Q281" s="10">
        <f t="shared" si="71"/>
        <v>100000</v>
      </c>
      <c r="R281" s="10">
        <f t="shared" si="71"/>
        <v>200000</v>
      </c>
      <c r="S281" s="10">
        <f t="shared" si="71"/>
        <v>0</v>
      </c>
    </row>
    <row r="282" spans="1:19" ht="16.5" customHeight="1">
      <c r="A282" s="9" t="s">
        <v>61</v>
      </c>
      <c r="B282" s="51"/>
      <c r="C282" s="51"/>
      <c r="D282" s="51"/>
      <c r="E282" s="54"/>
      <c r="F282" s="48"/>
      <c r="G282" s="48"/>
      <c r="H282" s="23" t="s">
        <v>10</v>
      </c>
      <c r="I282" s="11">
        <v>80000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f>100000*100%</f>
        <v>100000</v>
      </c>
      <c r="Q282" s="11">
        <f>100000*40%</f>
        <v>40000</v>
      </c>
      <c r="R282" s="12">
        <f>SUM(K282:Q282)</f>
        <v>140000</v>
      </c>
      <c r="S282" s="12">
        <f>I282-J282-R282</f>
        <v>-60000</v>
      </c>
    </row>
    <row r="283" spans="1:19" ht="16.5" customHeight="1">
      <c r="A283" s="9" t="s">
        <v>61</v>
      </c>
      <c r="B283" s="51"/>
      <c r="C283" s="51"/>
      <c r="D283" s="51"/>
      <c r="E283" s="54"/>
      <c r="F283" s="48"/>
      <c r="G283" s="48"/>
      <c r="H283" s="3" t="s">
        <v>46</v>
      </c>
      <c r="I283" s="11">
        <v>120000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/>
      <c r="Q283" s="11">
        <f>100000*60%</f>
        <v>60000</v>
      </c>
      <c r="R283" s="12">
        <f>SUM(K283:Q283)</f>
        <v>60000</v>
      </c>
      <c r="S283" s="12">
        <f>I283-J283-R283</f>
        <v>60000</v>
      </c>
    </row>
    <row r="284" spans="1:19" ht="16.5" customHeight="1">
      <c r="A284" s="9" t="s">
        <v>61</v>
      </c>
      <c r="B284" s="52"/>
      <c r="C284" s="52"/>
      <c r="D284" s="52"/>
      <c r="E284" s="61"/>
      <c r="F284" s="49"/>
      <c r="G284" s="49"/>
      <c r="H284" s="3" t="s">
        <v>11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2">
        <f>SUM(K284:Q284)</f>
        <v>0</v>
      </c>
      <c r="S284" s="12">
        <f>I284-J284-R284</f>
        <v>0</v>
      </c>
    </row>
    <row r="285" spans="1:19" s="9" customFormat="1" ht="36" customHeight="1">
      <c r="A285" s="9" t="s">
        <v>62</v>
      </c>
      <c r="B285" s="34"/>
      <c r="C285" s="62" t="s">
        <v>54</v>
      </c>
      <c r="D285" s="63"/>
      <c r="E285" s="63"/>
      <c r="F285" s="63"/>
      <c r="G285" s="64"/>
      <c r="H285" s="17" t="s">
        <v>8</v>
      </c>
      <c r="I285" s="18">
        <f>(SUMIF($A$286:$A$293,$A$285,$I286:I$293))/2</f>
        <v>330000</v>
      </c>
      <c r="J285" s="18">
        <f>(SUMIF($A$286:$A$293,$A$285,$J286:J$293))/2</f>
        <v>0</v>
      </c>
      <c r="K285" s="18">
        <f>(SUMIF($A$286:$A$293,$A$285,$K286:K$293))/2</f>
        <v>30000</v>
      </c>
      <c r="L285" s="43">
        <f>(SUMIF($A$286:$A$293,$A$285,$L286:L$293))/2</f>
        <v>300000</v>
      </c>
      <c r="M285" s="18">
        <f>(SUMIF($A$286:$A$293,$A$285,$M286:M$293))/2</f>
        <v>0</v>
      </c>
      <c r="N285" s="18">
        <f>(SUMIF($A$286:$A$293,$A$285,$N286:N$293))/2</f>
        <v>0</v>
      </c>
      <c r="O285" s="18">
        <f>(SUMIF($A$286:$A$293,$A$285,$O286:O$293))/2</f>
        <v>0</v>
      </c>
      <c r="P285" s="18">
        <f>(SUMIF($A$286:$A$293,$A$285,$P286:P$293))/2</f>
        <v>0</v>
      </c>
      <c r="Q285" s="18">
        <f>(SUMIF($A$286:$A$293,$A$285,$Q286:Q$293))/2</f>
        <v>0</v>
      </c>
      <c r="R285" s="18">
        <f>(SUMIF($A$286:$A$293,$A$285,$R286:R$293))/2</f>
        <v>330000</v>
      </c>
      <c r="S285" s="18">
        <f>(SUMIF($A$286:$A$293,$A$285,$S286:S$293))/2</f>
        <v>0</v>
      </c>
    </row>
    <row r="286" spans="1:19" ht="16.5" customHeight="1">
      <c r="A286" s="9" t="s">
        <v>62</v>
      </c>
      <c r="B286" s="51">
        <v>110</v>
      </c>
      <c r="C286" s="51">
        <v>68</v>
      </c>
      <c r="D286" s="50">
        <v>66</v>
      </c>
      <c r="E286" s="54" t="s">
        <v>70</v>
      </c>
      <c r="F286" s="48">
        <v>2008</v>
      </c>
      <c r="G286" s="48">
        <v>2008</v>
      </c>
      <c r="H286" s="23" t="s">
        <v>8</v>
      </c>
      <c r="I286" s="10">
        <f>SUBTOTAL(9,I287:I289)</f>
        <v>200000</v>
      </c>
      <c r="J286" s="10">
        <f>SUBTOTAL(9,J287:J289)</f>
        <v>0</v>
      </c>
      <c r="K286" s="10">
        <f aca="true" t="shared" si="72" ref="K286:S286">SUBTOTAL(9,K287:K289)</f>
        <v>0</v>
      </c>
      <c r="L286" s="40">
        <f t="shared" si="72"/>
        <v>200000</v>
      </c>
      <c r="M286" s="10">
        <f t="shared" si="72"/>
        <v>0</v>
      </c>
      <c r="N286" s="10">
        <f t="shared" si="72"/>
        <v>0</v>
      </c>
      <c r="O286" s="10">
        <f t="shared" si="72"/>
        <v>0</v>
      </c>
      <c r="P286" s="10">
        <f t="shared" si="72"/>
        <v>0</v>
      </c>
      <c r="Q286" s="10">
        <f t="shared" si="72"/>
        <v>0</v>
      </c>
      <c r="R286" s="10">
        <f t="shared" si="72"/>
        <v>200000</v>
      </c>
      <c r="S286" s="10">
        <f t="shared" si="72"/>
        <v>0</v>
      </c>
    </row>
    <row r="287" spans="1:19" ht="16.5" customHeight="1">
      <c r="A287" s="9" t="s">
        <v>62</v>
      </c>
      <c r="B287" s="51"/>
      <c r="C287" s="51"/>
      <c r="D287" s="51"/>
      <c r="E287" s="54"/>
      <c r="F287" s="48"/>
      <c r="G287" s="48"/>
      <c r="H287" s="23" t="s">
        <v>10</v>
      </c>
      <c r="I287" s="11">
        <v>200000</v>
      </c>
      <c r="J287" s="11">
        <v>0</v>
      </c>
      <c r="K287" s="11">
        <v>0</v>
      </c>
      <c r="L287" s="41">
        <v>200000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2">
        <f>SUM(K287:Q287)</f>
        <v>200000</v>
      </c>
      <c r="S287" s="12">
        <f>I287-J287-R287</f>
        <v>0</v>
      </c>
    </row>
    <row r="288" spans="1:19" ht="16.5" customHeight="1">
      <c r="A288" s="9" t="s">
        <v>62</v>
      </c>
      <c r="B288" s="51"/>
      <c r="C288" s="51"/>
      <c r="D288" s="51"/>
      <c r="E288" s="54"/>
      <c r="F288" s="48"/>
      <c r="G288" s="48"/>
      <c r="H288" s="3" t="s">
        <v>46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2">
        <f>SUM(K288:Q288)</f>
        <v>0</v>
      </c>
      <c r="S288" s="12">
        <f>I288-J288-R288</f>
        <v>0</v>
      </c>
    </row>
    <row r="289" spans="1:19" ht="16.5" customHeight="1">
      <c r="A289" s="9" t="s">
        <v>62</v>
      </c>
      <c r="B289" s="52"/>
      <c r="C289" s="52"/>
      <c r="D289" s="52"/>
      <c r="E289" s="61"/>
      <c r="F289" s="49"/>
      <c r="G289" s="49"/>
      <c r="H289" s="3" t="s">
        <v>11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2">
        <f>SUM(K289:Q289)</f>
        <v>0</v>
      </c>
      <c r="S289" s="12">
        <f>I289-J289-R289</f>
        <v>0</v>
      </c>
    </row>
    <row r="290" spans="1:19" ht="16.5" customHeight="1">
      <c r="A290" s="9" t="s">
        <v>62</v>
      </c>
      <c r="B290" s="50">
        <v>110</v>
      </c>
      <c r="C290" s="50">
        <v>69</v>
      </c>
      <c r="D290" s="50">
        <v>67</v>
      </c>
      <c r="E290" s="44" t="s">
        <v>71</v>
      </c>
      <c r="F290" s="47">
        <v>2007</v>
      </c>
      <c r="G290" s="47">
        <v>2008</v>
      </c>
      <c r="H290" s="23" t="s">
        <v>8</v>
      </c>
      <c r="I290" s="10">
        <f>SUBTOTAL(9,I291:I293)</f>
        <v>130000</v>
      </c>
      <c r="J290" s="10">
        <f>SUBTOTAL(9,J291:J293)</f>
        <v>0</v>
      </c>
      <c r="K290" s="10">
        <f aca="true" t="shared" si="73" ref="K290:S290">SUBTOTAL(9,K291:K293)</f>
        <v>30000</v>
      </c>
      <c r="L290" s="40">
        <f t="shared" si="73"/>
        <v>100000</v>
      </c>
      <c r="M290" s="10">
        <f t="shared" si="73"/>
        <v>0</v>
      </c>
      <c r="N290" s="10">
        <f t="shared" si="73"/>
        <v>0</v>
      </c>
      <c r="O290" s="10">
        <f t="shared" si="73"/>
        <v>0</v>
      </c>
      <c r="P290" s="10">
        <f t="shared" si="73"/>
        <v>0</v>
      </c>
      <c r="Q290" s="10">
        <f t="shared" si="73"/>
        <v>0</v>
      </c>
      <c r="R290" s="10">
        <f t="shared" si="73"/>
        <v>130000</v>
      </c>
      <c r="S290" s="10">
        <f t="shared" si="73"/>
        <v>0</v>
      </c>
    </row>
    <row r="291" spans="1:19" ht="16.5" customHeight="1">
      <c r="A291" s="9" t="s">
        <v>62</v>
      </c>
      <c r="B291" s="51"/>
      <c r="C291" s="51"/>
      <c r="D291" s="51"/>
      <c r="E291" s="45"/>
      <c r="F291" s="48"/>
      <c r="G291" s="48"/>
      <c r="H291" s="23" t="s">
        <v>10</v>
      </c>
      <c r="I291" s="11">
        <v>130000</v>
      </c>
      <c r="J291" s="11">
        <v>0</v>
      </c>
      <c r="K291" s="11">
        <v>30000</v>
      </c>
      <c r="L291" s="41">
        <v>100000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2">
        <f>SUM(K291:Q291)</f>
        <v>130000</v>
      </c>
      <c r="S291" s="12">
        <f>I291-J291-R291</f>
        <v>0</v>
      </c>
    </row>
    <row r="292" spans="1:19" ht="16.5" customHeight="1">
      <c r="A292" s="9" t="s">
        <v>62</v>
      </c>
      <c r="B292" s="51"/>
      <c r="C292" s="51"/>
      <c r="D292" s="51"/>
      <c r="E292" s="45"/>
      <c r="F292" s="48"/>
      <c r="G292" s="48"/>
      <c r="H292" s="3" t="s">
        <v>46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2">
        <f>SUM(K292:Q292)</f>
        <v>0</v>
      </c>
      <c r="S292" s="12">
        <f>I292-J292-R292</f>
        <v>0</v>
      </c>
    </row>
    <row r="293" spans="1:19" ht="16.5" customHeight="1">
      <c r="A293" s="9" t="s">
        <v>62</v>
      </c>
      <c r="B293" s="52"/>
      <c r="C293" s="52"/>
      <c r="D293" s="52"/>
      <c r="E293" s="46"/>
      <c r="F293" s="49"/>
      <c r="G293" s="49"/>
      <c r="H293" s="3" t="s">
        <v>11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2">
        <f>SUM(K293:Q293)</f>
        <v>0</v>
      </c>
      <c r="S293" s="12">
        <f>I293-J293-R293</f>
        <v>0</v>
      </c>
    </row>
    <row r="294" spans="1:19" s="9" customFormat="1" ht="36" customHeight="1">
      <c r="A294" s="9" t="s">
        <v>63</v>
      </c>
      <c r="B294" s="34"/>
      <c r="C294" s="62" t="s">
        <v>55</v>
      </c>
      <c r="D294" s="63"/>
      <c r="E294" s="63"/>
      <c r="F294" s="63"/>
      <c r="G294" s="64"/>
      <c r="H294" s="17" t="s">
        <v>8</v>
      </c>
      <c r="I294" s="18">
        <f>(SUMIF($A$295:$A$306,$A$294,$I295:I$307))/2</f>
        <v>6200000</v>
      </c>
      <c r="J294" s="18">
        <f>(SUMIF($A$295:$A$306,$A$294,$J295:J$307))/2</f>
        <v>0</v>
      </c>
      <c r="K294" s="18">
        <f>(SUMIF($A$295:$A$306,$A$294,$K295:K$307))/2</f>
        <v>200000</v>
      </c>
      <c r="L294" s="43">
        <f>(SUMIF($A$295:$A$306,$A$294,$L295:L$307))/2</f>
        <v>4550000</v>
      </c>
      <c r="M294" s="18">
        <f>(SUMIF($A$295:$A$306,$A$294,$M295:M$307))/2</f>
        <v>250000</v>
      </c>
      <c r="N294" s="18">
        <f>(SUMIF($A$295:$A$306,$A$294,$N295:N$307))/2</f>
        <v>1200000</v>
      </c>
      <c r="O294" s="18">
        <f>(SUMIF($A$295:$A$306,$A$294,$O295:O$307))/2</f>
        <v>0</v>
      </c>
      <c r="P294" s="18">
        <f>(SUMIF($A$295:$A$306,$A$294,$P295:P$307))/2</f>
        <v>0</v>
      </c>
      <c r="Q294" s="18">
        <f>(SUMIF($A$295:$A$306,$A$294,$Q295:Q$307))/2</f>
        <v>0</v>
      </c>
      <c r="R294" s="18">
        <f>(SUMIF($A$295:$A$306,$A$294,$R295:R$307))/2</f>
        <v>6200000</v>
      </c>
      <c r="S294" s="18">
        <f>(SUMIF($A$295:$A$306,$A$294,$S295:S$307))/2</f>
        <v>0</v>
      </c>
    </row>
    <row r="295" spans="1:19" ht="16.5" customHeight="1">
      <c r="A295" s="9" t="s">
        <v>63</v>
      </c>
      <c r="B295" s="51">
        <v>111</v>
      </c>
      <c r="C295" s="51">
        <v>70</v>
      </c>
      <c r="D295" s="50">
        <v>68</v>
      </c>
      <c r="E295" s="45" t="s">
        <v>99</v>
      </c>
      <c r="F295" s="48">
        <v>2007</v>
      </c>
      <c r="G295" s="48">
        <v>2008</v>
      </c>
      <c r="H295" s="23" t="s">
        <v>8</v>
      </c>
      <c r="I295" s="10">
        <f>SUBTOTAL(9,I296:I298)</f>
        <v>4600000</v>
      </c>
      <c r="J295" s="10">
        <f>SUBTOTAL(9,J296:J298)</f>
        <v>0</v>
      </c>
      <c r="K295" s="10">
        <f aca="true" t="shared" si="74" ref="K295:S295">SUBTOTAL(9,K296:K298)</f>
        <v>100000</v>
      </c>
      <c r="L295" s="40">
        <f t="shared" si="74"/>
        <v>4500000</v>
      </c>
      <c r="M295" s="10">
        <f t="shared" si="74"/>
        <v>0</v>
      </c>
      <c r="N295" s="10">
        <f t="shared" si="74"/>
        <v>0</v>
      </c>
      <c r="O295" s="10">
        <f t="shared" si="74"/>
        <v>0</v>
      </c>
      <c r="P295" s="10">
        <f t="shared" si="74"/>
        <v>0</v>
      </c>
      <c r="Q295" s="10">
        <f t="shared" si="74"/>
        <v>0</v>
      </c>
      <c r="R295" s="10">
        <f t="shared" si="74"/>
        <v>4600000</v>
      </c>
      <c r="S295" s="10">
        <f t="shared" si="74"/>
        <v>0</v>
      </c>
    </row>
    <row r="296" spans="1:19" ht="16.5" customHeight="1">
      <c r="A296" s="9" t="s">
        <v>63</v>
      </c>
      <c r="B296" s="51"/>
      <c r="C296" s="51"/>
      <c r="D296" s="51"/>
      <c r="E296" s="45"/>
      <c r="F296" s="48"/>
      <c r="G296" s="48"/>
      <c r="H296" s="23" t="s">
        <v>10</v>
      </c>
      <c r="I296" s="11">
        <v>4600000</v>
      </c>
      <c r="J296" s="11">
        <v>0</v>
      </c>
      <c r="K296" s="11">
        <v>100000</v>
      </c>
      <c r="L296" s="41">
        <v>4500000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2">
        <f>SUM(K296:Q296)</f>
        <v>4600000</v>
      </c>
      <c r="S296" s="12">
        <f>I296-J296-R296</f>
        <v>0</v>
      </c>
    </row>
    <row r="297" spans="1:19" ht="16.5" customHeight="1">
      <c r="A297" s="9" t="s">
        <v>63</v>
      </c>
      <c r="B297" s="51"/>
      <c r="C297" s="51"/>
      <c r="D297" s="51"/>
      <c r="E297" s="45"/>
      <c r="F297" s="48"/>
      <c r="G297" s="48"/>
      <c r="H297" s="3" t="s">
        <v>46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2">
        <f>SUM(K297:Q297)</f>
        <v>0</v>
      </c>
      <c r="S297" s="12">
        <f>I297-J297-R297</f>
        <v>0</v>
      </c>
    </row>
    <row r="298" spans="1:19" ht="16.5" customHeight="1">
      <c r="A298" s="9" t="s">
        <v>63</v>
      </c>
      <c r="B298" s="52"/>
      <c r="C298" s="52"/>
      <c r="D298" s="52"/>
      <c r="E298" s="58"/>
      <c r="F298" s="49"/>
      <c r="G298" s="49"/>
      <c r="H298" s="3" t="s">
        <v>11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2">
        <f>SUM(K298:Q298)</f>
        <v>0</v>
      </c>
      <c r="S298" s="12">
        <f>I298-J298-R298</f>
        <v>0</v>
      </c>
    </row>
    <row r="299" spans="1:19" ht="16.5" customHeight="1">
      <c r="A299" s="9" t="s">
        <v>63</v>
      </c>
      <c r="B299" s="50">
        <v>112</v>
      </c>
      <c r="C299" s="50">
        <v>71</v>
      </c>
      <c r="D299" s="50">
        <v>69</v>
      </c>
      <c r="E299" s="44" t="s">
        <v>100</v>
      </c>
      <c r="F299" s="47">
        <v>2007</v>
      </c>
      <c r="G299" s="47">
        <v>2009</v>
      </c>
      <c r="H299" s="23" t="s">
        <v>8</v>
      </c>
      <c r="I299" s="10">
        <f>SUBTOTAL(9,I300:I302)</f>
        <v>200000</v>
      </c>
      <c r="J299" s="10">
        <f>SUBTOTAL(9,J300:J302)</f>
        <v>0</v>
      </c>
      <c r="K299" s="10">
        <f aca="true" t="shared" si="75" ref="K299:S299">SUBTOTAL(9,K300:K302)</f>
        <v>100000</v>
      </c>
      <c r="L299" s="40">
        <f t="shared" si="75"/>
        <v>50000</v>
      </c>
      <c r="M299" s="10">
        <f t="shared" si="75"/>
        <v>50000</v>
      </c>
      <c r="N299" s="10">
        <f t="shared" si="75"/>
        <v>0</v>
      </c>
      <c r="O299" s="10">
        <f t="shared" si="75"/>
        <v>0</v>
      </c>
      <c r="P299" s="10">
        <f t="shared" si="75"/>
        <v>0</v>
      </c>
      <c r="Q299" s="10">
        <f t="shared" si="75"/>
        <v>0</v>
      </c>
      <c r="R299" s="10">
        <f t="shared" si="75"/>
        <v>200000</v>
      </c>
      <c r="S299" s="10">
        <f t="shared" si="75"/>
        <v>0</v>
      </c>
    </row>
    <row r="300" spans="1:19" ht="16.5" customHeight="1">
      <c r="A300" s="9" t="s">
        <v>63</v>
      </c>
      <c r="B300" s="51"/>
      <c r="C300" s="51"/>
      <c r="D300" s="51"/>
      <c r="E300" s="45"/>
      <c r="F300" s="48"/>
      <c r="G300" s="48"/>
      <c r="H300" s="23" t="s">
        <v>10</v>
      </c>
      <c r="I300" s="11">
        <v>200000</v>
      </c>
      <c r="J300" s="11">
        <v>0</v>
      </c>
      <c r="K300" s="11">
        <v>100000</v>
      </c>
      <c r="L300" s="41">
        <v>50000</v>
      </c>
      <c r="M300" s="11">
        <v>50000</v>
      </c>
      <c r="N300" s="11">
        <v>0</v>
      </c>
      <c r="O300" s="11">
        <v>0</v>
      </c>
      <c r="P300" s="11">
        <v>0</v>
      </c>
      <c r="Q300" s="11">
        <v>0</v>
      </c>
      <c r="R300" s="12">
        <f>SUM(K300:Q300)</f>
        <v>200000</v>
      </c>
      <c r="S300" s="12">
        <f>I300-J300-R300</f>
        <v>0</v>
      </c>
    </row>
    <row r="301" spans="1:19" ht="16.5" customHeight="1">
      <c r="A301" s="9" t="s">
        <v>63</v>
      </c>
      <c r="B301" s="51"/>
      <c r="C301" s="51"/>
      <c r="D301" s="51"/>
      <c r="E301" s="45"/>
      <c r="F301" s="48"/>
      <c r="G301" s="48"/>
      <c r="H301" s="3" t="s">
        <v>46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2">
        <f>SUM(K301:Q301)</f>
        <v>0</v>
      </c>
      <c r="S301" s="12">
        <f>I301-J301-R301</f>
        <v>0</v>
      </c>
    </row>
    <row r="302" spans="1:19" ht="16.5" customHeight="1">
      <c r="A302" s="9" t="s">
        <v>63</v>
      </c>
      <c r="B302" s="52"/>
      <c r="C302" s="52"/>
      <c r="D302" s="52"/>
      <c r="E302" s="46"/>
      <c r="F302" s="49"/>
      <c r="G302" s="49"/>
      <c r="H302" s="3" t="s">
        <v>11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2">
        <f>SUM(K302:Q302)</f>
        <v>0</v>
      </c>
      <c r="S302" s="12">
        <f>I302-J302-R302</f>
        <v>0</v>
      </c>
    </row>
    <row r="303" spans="1:19" ht="16.5" customHeight="1">
      <c r="A303" s="9" t="s">
        <v>63</v>
      </c>
      <c r="B303" s="50">
        <v>112</v>
      </c>
      <c r="C303" s="50">
        <v>72</v>
      </c>
      <c r="D303" s="50">
        <v>70</v>
      </c>
      <c r="E303" s="44" t="s">
        <v>67</v>
      </c>
      <c r="F303" s="47">
        <v>2009</v>
      </c>
      <c r="G303" s="47">
        <v>2010</v>
      </c>
      <c r="H303" s="23" t="s">
        <v>8</v>
      </c>
      <c r="I303" s="10">
        <f>SUBTOTAL(9,I304:I306)</f>
        <v>1400000</v>
      </c>
      <c r="J303" s="10">
        <f>SUBTOTAL(9,J304:J306)</f>
        <v>0</v>
      </c>
      <c r="K303" s="10">
        <f aca="true" t="shared" si="76" ref="K303:S303">SUBTOTAL(9,K304:K306)</f>
        <v>0</v>
      </c>
      <c r="L303" s="40">
        <f t="shared" si="76"/>
        <v>0</v>
      </c>
      <c r="M303" s="10">
        <f t="shared" si="76"/>
        <v>200000</v>
      </c>
      <c r="N303" s="10">
        <f t="shared" si="76"/>
        <v>1200000</v>
      </c>
      <c r="O303" s="10">
        <f t="shared" si="76"/>
        <v>0</v>
      </c>
      <c r="P303" s="10">
        <f t="shared" si="76"/>
        <v>0</v>
      </c>
      <c r="Q303" s="10">
        <f t="shared" si="76"/>
        <v>0</v>
      </c>
      <c r="R303" s="10">
        <f t="shared" si="76"/>
        <v>1400000</v>
      </c>
      <c r="S303" s="10">
        <f t="shared" si="76"/>
        <v>0</v>
      </c>
    </row>
    <row r="304" spans="1:19" ht="16.5" customHeight="1">
      <c r="A304" s="9" t="s">
        <v>63</v>
      </c>
      <c r="B304" s="51"/>
      <c r="C304" s="51"/>
      <c r="D304" s="51"/>
      <c r="E304" s="45"/>
      <c r="F304" s="48"/>
      <c r="G304" s="48"/>
      <c r="H304" s="23" t="s">
        <v>10</v>
      </c>
      <c r="I304" s="11">
        <v>1400000</v>
      </c>
      <c r="J304" s="11">
        <v>0</v>
      </c>
      <c r="K304" s="11">
        <v>0</v>
      </c>
      <c r="L304" s="11">
        <v>0</v>
      </c>
      <c r="M304" s="11">
        <v>200000</v>
      </c>
      <c r="N304" s="11">
        <v>1200000</v>
      </c>
      <c r="O304" s="11">
        <v>0</v>
      </c>
      <c r="P304" s="11">
        <v>0</v>
      </c>
      <c r="Q304" s="11">
        <v>0</v>
      </c>
      <c r="R304" s="12">
        <f>SUM(K304:Q304)</f>
        <v>1400000</v>
      </c>
      <c r="S304" s="12">
        <f>I304-J304-R304</f>
        <v>0</v>
      </c>
    </row>
    <row r="305" spans="1:19" ht="16.5" customHeight="1">
      <c r="A305" s="9" t="s">
        <v>63</v>
      </c>
      <c r="B305" s="51"/>
      <c r="C305" s="51"/>
      <c r="D305" s="51"/>
      <c r="E305" s="45"/>
      <c r="F305" s="48"/>
      <c r="G305" s="48"/>
      <c r="H305" s="3" t="s">
        <v>46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2">
        <f>SUM(K305:Q305)</f>
        <v>0</v>
      </c>
      <c r="S305" s="12">
        <f>I305-J305-R305</f>
        <v>0</v>
      </c>
    </row>
    <row r="306" spans="1:19" ht="16.5" customHeight="1">
      <c r="A306" s="9" t="s">
        <v>63</v>
      </c>
      <c r="B306" s="52"/>
      <c r="C306" s="52"/>
      <c r="D306" s="52"/>
      <c r="E306" s="46"/>
      <c r="F306" s="49"/>
      <c r="G306" s="49"/>
      <c r="H306" s="3" t="s">
        <v>11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2">
        <f>SUM(K306:Q306)</f>
        <v>0</v>
      </c>
      <c r="S306" s="12">
        <f>I306-J306-R306</f>
        <v>0</v>
      </c>
    </row>
    <row r="307" spans="1:19" s="9" customFormat="1" ht="36" customHeight="1">
      <c r="A307" s="9" t="s">
        <v>64</v>
      </c>
      <c r="B307" s="34"/>
      <c r="C307" s="62" t="s">
        <v>107</v>
      </c>
      <c r="D307" s="63"/>
      <c r="E307" s="63"/>
      <c r="F307" s="63"/>
      <c r="G307" s="64"/>
      <c r="H307" s="17" t="s">
        <v>8</v>
      </c>
      <c r="I307" s="18">
        <f>(SUMIF($A$308:$A$319,$A$307,$I308:I$319))/2</f>
        <v>4270000</v>
      </c>
      <c r="J307" s="18">
        <f>(SUMIF($A$308:$A$319,$A$307,$J308:J$319))/2</f>
        <v>0</v>
      </c>
      <c r="K307" s="18">
        <f>(SUMIF($A$308:$A$319,$A$307,$K308:K$319))/2</f>
        <v>100000</v>
      </c>
      <c r="L307" s="18">
        <f>(SUMIF($A$308:$A$319,$A$307,$L308:L$319))/2</f>
        <v>160000</v>
      </c>
      <c r="M307" s="18">
        <f>(SUMIF($A$308:$A$319,$A$307,$M308:M$319))/2</f>
        <v>560000</v>
      </c>
      <c r="N307" s="18">
        <f>(SUMIF($A$308:$A$319,$A$307,$N308:N$319))/2</f>
        <v>680000</v>
      </c>
      <c r="O307" s="18">
        <f>(SUMIF($A$308:$A$319,$A$307,$O308:O$319))/2</f>
        <v>1770000</v>
      </c>
      <c r="P307" s="18">
        <f>(SUMIF($A$308:$A$319,$A$307,$P308:P$319))/2</f>
        <v>930000</v>
      </c>
      <c r="Q307" s="18">
        <f>(SUMIF($A$308:$A$319,$A$307,$Q308:Q$319))/2</f>
        <v>70000</v>
      </c>
      <c r="R307" s="18">
        <f>(SUMIF($A$308:$A$319,$A$307,$R308:R$319))/2</f>
        <v>4270000</v>
      </c>
      <c r="S307" s="18">
        <f>(SUMIF($A$308:$A$319,$A$307,S308:S319))/2</f>
        <v>0</v>
      </c>
    </row>
    <row r="308" spans="1:19" ht="16.5" customHeight="1">
      <c r="A308" s="9" t="s">
        <v>64</v>
      </c>
      <c r="B308" s="51">
        <v>113</v>
      </c>
      <c r="C308" s="51">
        <v>73</v>
      </c>
      <c r="D308" s="50">
        <v>71</v>
      </c>
      <c r="E308" s="54" t="s">
        <v>56</v>
      </c>
      <c r="F308" s="48"/>
      <c r="G308" s="48"/>
      <c r="H308" s="23" t="s">
        <v>8</v>
      </c>
      <c r="I308" s="10">
        <f aca="true" t="shared" si="77" ref="I308:S308">SUBTOTAL(9,I309:I311)</f>
        <v>490000</v>
      </c>
      <c r="J308" s="10">
        <f t="shared" si="77"/>
        <v>0</v>
      </c>
      <c r="K308" s="10">
        <f t="shared" si="77"/>
        <v>100000</v>
      </c>
      <c r="L308" s="10">
        <f t="shared" si="77"/>
        <v>60000</v>
      </c>
      <c r="M308" s="10">
        <f t="shared" si="77"/>
        <v>60000</v>
      </c>
      <c r="N308" s="10">
        <f t="shared" si="77"/>
        <v>60000</v>
      </c>
      <c r="O308" s="10">
        <f t="shared" si="77"/>
        <v>70000</v>
      </c>
      <c r="P308" s="10">
        <f t="shared" si="77"/>
        <v>70000</v>
      </c>
      <c r="Q308" s="10">
        <f t="shared" si="77"/>
        <v>70000</v>
      </c>
      <c r="R308" s="10">
        <f t="shared" si="77"/>
        <v>490000</v>
      </c>
      <c r="S308" s="10">
        <f t="shared" si="77"/>
        <v>0</v>
      </c>
    </row>
    <row r="309" spans="1:19" ht="16.5" customHeight="1">
      <c r="A309" s="9" t="s">
        <v>64</v>
      </c>
      <c r="B309" s="51"/>
      <c r="C309" s="51"/>
      <c r="D309" s="51"/>
      <c r="E309" s="54"/>
      <c r="F309" s="48"/>
      <c r="G309" s="48"/>
      <c r="H309" s="23" t="s">
        <v>10</v>
      </c>
      <c r="I309" s="11">
        <v>490000</v>
      </c>
      <c r="J309" s="11"/>
      <c r="K309" s="11">
        <v>100000</v>
      </c>
      <c r="L309" s="11">
        <v>60000</v>
      </c>
      <c r="M309" s="11">
        <v>60000</v>
      </c>
      <c r="N309" s="11">
        <v>60000</v>
      </c>
      <c r="O309" s="11">
        <v>70000</v>
      </c>
      <c r="P309" s="11">
        <v>70000</v>
      </c>
      <c r="Q309" s="11">
        <v>70000</v>
      </c>
      <c r="R309" s="12">
        <f>SUM(K309:Q309)</f>
        <v>490000</v>
      </c>
      <c r="S309" s="12">
        <f>I309-J309-R309</f>
        <v>0</v>
      </c>
    </row>
    <row r="310" spans="1:19" ht="16.5" customHeight="1">
      <c r="A310" s="9" t="s">
        <v>64</v>
      </c>
      <c r="B310" s="51"/>
      <c r="C310" s="51"/>
      <c r="D310" s="51"/>
      <c r="E310" s="54"/>
      <c r="F310" s="48"/>
      <c r="G310" s="48"/>
      <c r="H310" s="3" t="s">
        <v>46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2">
        <f>SUM(K310:Q310)</f>
        <v>0</v>
      </c>
      <c r="S310" s="12">
        <f>I310-J310-R310</f>
        <v>0</v>
      </c>
    </row>
    <row r="311" spans="1:19" ht="16.5" customHeight="1">
      <c r="A311" s="9" t="s">
        <v>64</v>
      </c>
      <c r="B311" s="52"/>
      <c r="C311" s="52"/>
      <c r="D311" s="52"/>
      <c r="E311" s="55"/>
      <c r="F311" s="49"/>
      <c r="G311" s="49"/>
      <c r="H311" s="3" t="s">
        <v>11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2">
        <f>SUM(K311:Q311)</f>
        <v>0</v>
      </c>
      <c r="S311" s="12">
        <f>I311-J311-R311</f>
        <v>0</v>
      </c>
    </row>
    <row r="312" spans="1:19" ht="16.5" customHeight="1">
      <c r="A312" s="9" t="s">
        <v>64</v>
      </c>
      <c r="B312" s="50">
        <v>114</v>
      </c>
      <c r="C312" s="50">
        <v>74</v>
      </c>
      <c r="D312" s="50">
        <v>72</v>
      </c>
      <c r="E312" s="80" t="s">
        <v>57</v>
      </c>
      <c r="F312" s="47">
        <v>2008</v>
      </c>
      <c r="G312" s="47">
        <v>2012</v>
      </c>
      <c r="H312" s="23" t="s">
        <v>8</v>
      </c>
      <c r="I312" s="10">
        <f>SUBTOTAL(9,I313:I315)</f>
        <v>1900000</v>
      </c>
      <c r="J312" s="10">
        <f>SUBTOTAL(9,J313:J315)</f>
        <v>0</v>
      </c>
      <c r="K312" s="10">
        <f aca="true" t="shared" si="78" ref="K312:S312">SUBTOTAL(9,K313:K315)</f>
        <v>0</v>
      </c>
      <c r="L312" s="10">
        <f t="shared" si="78"/>
        <v>100000</v>
      </c>
      <c r="M312" s="10">
        <f t="shared" si="78"/>
        <v>500000</v>
      </c>
      <c r="N312" s="10">
        <f t="shared" si="78"/>
        <v>500000</v>
      </c>
      <c r="O312" s="10">
        <f t="shared" si="78"/>
        <v>500000</v>
      </c>
      <c r="P312" s="10">
        <f t="shared" si="78"/>
        <v>300000</v>
      </c>
      <c r="Q312" s="10">
        <f t="shared" si="78"/>
        <v>0</v>
      </c>
      <c r="R312" s="10">
        <f t="shared" si="78"/>
        <v>1900000</v>
      </c>
      <c r="S312" s="10">
        <f t="shared" si="78"/>
        <v>0</v>
      </c>
    </row>
    <row r="313" spans="1:19" ht="16.5" customHeight="1">
      <c r="A313" s="9" t="s">
        <v>64</v>
      </c>
      <c r="B313" s="51"/>
      <c r="C313" s="51"/>
      <c r="D313" s="51"/>
      <c r="E313" s="54"/>
      <c r="F313" s="48"/>
      <c r="G313" s="48"/>
      <c r="H313" s="23" t="s">
        <v>10</v>
      </c>
      <c r="I313" s="11">
        <v>760000</v>
      </c>
      <c r="J313" s="11">
        <v>0</v>
      </c>
      <c r="K313" s="11">
        <v>0</v>
      </c>
      <c r="L313" s="11">
        <f>100000*100%</f>
        <v>100000</v>
      </c>
      <c r="M313" s="11">
        <v>440000</v>
      </c>
      <c r="N313" s="11">
        <f>500000*40%</f>
        <v>200000</v>
      </c>
      <c r="O313" s="11">
        <f>500000*40%</f>
        <v>200000</v>
      </c>
      <c r="P313" s="11">
        <v>0</v>
      </c>
      <c r="Q313" s="11">
        <f>(-Q314)</f>
        <v>-180000</v>
      </c>
      <c r="R313" s="12">
        <f>SUM(K313:Q313)</f>
        <v>760000</v>
      </c>
      <c r="S313" s="12">
        <f>I313-J313-R313</f>
        <v>0</v>
      </c>
    </row>
    <row r="314" spans="1:19" ht="16.5" customHeight="1">
      <c r="A314" s="9" t="s">
        <v>64</v>
      </c>
      <c r="B314" s="51"/>
      <c r="C314" s="51"/>
      <c r="D314" s="51"/>
      <c r="E314" s="54"/>
      <c r="F314" s="48"/>
      <c r="G314" s="48"/>
      <c r="H314" s="3" t="s">
        <v>46</v>
      </c>
      <c r="I314" s="11">
        <v>1140000</v>
      </c>
      <c r="J314" s="11">
        <v>0</v>
      </c>
      <c r="K314" s="11">
        <v>0</v>
      </c>
      <c r="L314" s="11"/>
      <c r="M314" s="11">
        <f>100000*60%</f>
        <v>60000</v>
      </c>
      <c r="N314" s="11">
        <f>500000*60%</f>
        <v>300000</v>
      </c>
      <c r="O314" s="11">
        <f>500000*60%</f>
        <v>300000</v>
      </c>
      <c r="P314" s="11">
        <f>500000*60%</f>
        <v>300000</v>
      </c>
      <c r="Q314" s="11">
        <f>300000*60%</f>
        <v>180000</v>
      </c>
      <c r="R314" s="12">
        <f>SUM(K314:Q314)</f>
        <v>1140000</v>
      </c>
      <c r="S314" s="12">
        <f>I314-J314-R314</f>
        <v>0</v>
      </c>
    </row>
    <row r="315" spans="1:19" ht="16.5" customHeight="1">
      <c r="A315" s="9" t="s">
        <v>64</v>
      </c>
      <c r="B315" s="52"/>
      <c r="C315" s="52"/>
      <c r="D315" s="52"/>
      <c r="E315" s="61"/>
      <c r="F315" s="49"/>
      <c r="G315" s="49"/>
      <c r="H315" s="3" t="s">
        <v>11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2">
        <f>SUM(K315:Q315)</f>
        <v>0</v>
      </c>
      <c r="S315" s="12">
        <f>I315-J315-R315</f>
        <v>0</v>
      </c>
    </row>
    <row r="316" spans="1:19" ht="16.5" customHeight="1">
      <c r="A316" s="9" t="s">
        <v>64</v>
      </c>
      <c r="B316" s="50">
        <v>116</v>
      </c>
      <c r="C316" s="50">
        <v>75</v>
      </c>
      <c r="D316" s="50">
        <v>73</v>
      </c>
      <c r="E316" s="80" t="s">
        <v>58</v>
      </c>
      <c r="F316" s="47">
        <v>2010</v>
      </c>
      <c r="G316" s="47">
        <v>2012</v>
      </c>
      <c r="H316" s="23" t="s">
        <v>8</v>
      </c>
      <c r="I316" s="10">
        <f>SUBTOTAL(9,I317:I319)</f>
        <v>1880000</v>
      </c>
      <c r="J316" s="10">
        <f>SUBTOTAL(9,J317:J319)</f>
        <v>0</v>
      </c>
      <c r="K316" s="10">
        <f aca="true" t="shared" si="79" ref="K316:S316">SUBTOTAL(9,K317:K319)</f>
        <v>0</v>
      </c>
      <c r="L316" s="10">
        <f t="shared" si="79"/>
        <v>0</v>
      </c>
      <c r="M316" s="10">
        <f t="shared" si="79"/>
        <v>0</v>
      </c>
      <c r="N316" s="10">
        <f t="shared" si="79"/>
        <v>120000</v>
      </c>
      <c r="O316" s="10">
        <f t="shared" si="79"/>
        <v>1200000</v>
      </c>
      <c r="P316" s="10">
        <f t="shared" si="79"/>
        <v>560000</v>
      </c>
      <c r="Q316" s="10">
        <f t="shared" si="79"/>
        <v>0</v>
      </c>
      <c r="R316" s="10">
        <f t="shared" si="79"/>
        <v>1880000</v>
      </c>
      <c r="S316" s="10">
        <f t="shared" si="79"/>
        <v>0</v>
      </c>
    </row>
    <row r="317" spans="1:19" ht="16.5" customHeight="1">
      <c r="A317" s="9" t="s">
        <v>64</v>
      </c>
      <c r="B317" s="51"/>
      <c r="C317" s="51"/>
      <c r="D317" s="51"/>
      <c r="E317" s="54"/>
      <c r="F317" s="48"/>
      <c r="G317" s="48"/>
      <c r="H317" s="23" t="s">
        <v>10</v>
      </c>
      <c r="I317" s="11">
        <v>1880000</v>
      </c>
      <c r="J317" s="11">
        <v>0</v>
      </c>
      <c r="K317" s="11">
        <v>0</v>
      </c>
      <c r="L317" s="11">
        <v>0</v>
      </c>
      <c r="M317" s="11">
        <v>0</v>
      </c>
      <c r="N317" s="11">
        <v>120000</v>
      </c>
      <c r="O317" s="11">
        <v>1200000</v>
      </c>
      <c r="P317" s="11">
        <v>560000</v>
      </c>
      <c r="Q317" s="11">
        <v>0</v>
      </c>
      <c r="R317" s="12">
        <f>SUM(K317:Q317)</f>
        <v>1880000</v>
      </c>
      <c r="S317" s="12">
        <f>I317-J317-R317</f>
        <v>0</v>
      </c>
    </row>
    <row r="318" spans="1:19" ht="16.5" customHeight="1">
      <c r="A318" s="9" t="s">
        <v>64</v>
      </c>
      <c r="B318" s="51"/>
      <c r="C318" s="51"/>
      <c r="D318" s="51"/>
      <c r="E318" s="54"/>
      <c r="F318" s="48"/>
      <c r="G318" s="48"/>
      <c r="H318" s="3" t="s">
        <v>46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2">
        <f>SUM(K318:Q318)</f>
        <v>0</v>
      </c>
      <c r="S318" s="12">
        <f>I318-J318-R318</f>
        <v>0</v>
      </c>
    </row>
    <row r="319" spans="1:19" ht="16.5" customHeight="1">
      <c r="A319" s="9" t="s">
        <v>64</v>
      </c>
      <c r="B319" s="52"/>
      <c r="C319" s="52"/>
      <c r="D319" s="52"/>
      <c r="E319" s="61"/>
      <c r="F319" s="49"/>
      <c r="G319" s="49"/>
      <c r="H319" s="3" t="s">
        <v>11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2">
        <f>SUM(K319:Q319)</f>
        <v>0</v>
      </c>
      <c r="S319" s="12">
        <f>I319-J319-R319</f>
        <v>0</v>
      </c>
    </row>
    <row r="320" spans="2:19" ht="25.5" customHeight="1">
      <c r="B320" s="34"/>
      <c r="C320" s="62" t="s">
        <v>83</v>
      </c>
      <c r="D320" s="63"/>
      <c r="E320" s="63"/>
      <c r="F320" s="63"/>
      <c r="G320" s="64"/>
      <c r="H320" s="17" t="s">
        <v>8</v>
      </c>
      <c r="I320" s="37">
        <f aca="true" t="shared" si="80" ref="I320:S320">SUBTOTAL(9,I321:I336)</f>
        <v>76207534</v>
      </c>
      <c r="J320" s="37">
        <f t="shared" si="80"/>
        <v>0</v>
      </c>
      <c r="K320" s="37">
        <f t="shared" si="80"/>
        <v>7000000</v>
      </c>
      <c r="L320" s="37">
        <f t="shared" si="80"/>
        <v>25884171</v>
      </c>
      <c r="M320" s="37">
        <f t="shared" si="80"/>
        <v>17659016</v>
      </c>
      <c r="N320" s="37">
        <f t="shared" si="80"/>
        <v>16452347</v>
      </c>
      <c r="O320" s="37">
        <f t="shared" si="80"/>
        <v>5212000</v>
      </c>
      <c r="P320" s="37">
        <f t="shared" si="80"/>
        <v>2000000</v>
      </c>
      <c r="Q320" s="37">
        <f t="shared" si="80"/>
        <v>2000000</v>
      </c>
      <c r="R320" s="37">
        <f t="shared" si="80"/>
        <v>76207534</v>
      </c>
      <c r="S320" s="37">
        <f t="shared" si="80"/>
        <v>0</v>
      </c>
    </row>
    <row r="321" spans="2:19" s="36" customFormat="1" ht="15" customHeight="1">
      <c r="B321" s="50">
        <v>117</v>
      </c>
      <c r="C321" s="50">
        <v>76</v>
      </c>
      <c r="D321" s="50">
        <v>74</v>
      </c>
      <c r="E321" s="77" t="s">
        <v>111</v>
      </c>
      <c r="F321" s="74">
        <v>2008</v>
      </c>
      <c r="G321" s="74">
        <v>2008</v>
      </c>
      <c r="H321" s="23" t="s">
        <v>8</v>
      </c>
      <c r="I321" s="10">
        <f>SUBTOTAL(9,I322:I324)</f>
        <v>650000</v>
      </c>
      <c r="J321" s="10">
        <f>SUBTOTAL(9,J322:J324)</f>
        <v>0</v>
      </c>
      <c r="K321" s="10">
        <f aca="true" t="shared" si="81" ref="K321:S321">SUBTOTAL(9,K322:K324)</f>
        <v>0</v>
      </c>
      <c r="L321" s="10">
        <f t="shared" si="81"/>
        <v>650000</v>
      </c>
      <c r="M321" s="10">
        <f t="shared" si="81"/>
        <v>0</v>
      </c>
      <c r="N321" s="10">
        <f t="shared" si="81"/>
        <v>0</v>
      </c>
      <c r="O321" s="10">
        <f t="shared" si="81"/>
        <v>0</v>
      </c>
      <c r="P321" s="10">
        <f t="shared" si="81"/>
        <v>0</v>
      </c>
      <c r="Q321" s="10">
        <f t="shared" si="81"/>
        <v>0</v>
      </c>
      <c r="R321" s="10">
        <f t="shared" si="81"/>
        <v>650000</v>
      </c>
      <c r="S321" s="10">
        <f t="shared" si="81"/>
        <v>0</v>
      </c>
    </row>
    <row r="322" spans="2:19" s="36" customFormat="1" ht="15" customHeight="1">
      <c r="B322" s="51"/>
      <c r="C322" s="51"/>
      <c r="D322" s="51"/>
      <c r="E322" s="78"/>
      <c r="F322" s="75"/>
      <c r="G322" s="75"/>
      <c r="H322" s="23" t="s">
        <v>10</v>
      </c>
      <c r="I322" s="11">
        <v>650000</v>
      </c>
      <c r="J322" s="11">
        <v>0</v>
      </c>
      <c r="K322" s="11">
        <v>0</v>
      </c>
      <c r="L322" s="11">
        <v>650000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2">
        <f>SUM(K322:Q322)</f>
        <v>650000</v>
      </c>
      <c r="S322" s="12">
        <f>I322-J322-R322</f>
        <v>0</v>
      </c>
    </row>
    <row r="323" spans="2:19" s="36" customFormat="1" ht="15" customHeight="1">
      <c r="B323" s="51"/>
      <c r="C323" s="51"/>
      <c r="D323" s="51"/>
      <c r="E323" s="78"/>
      <c r="F323" s="75"/>
      <c r="G323" s="75"/>
      <c r="H323" s="3" t="s">
        <v>46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2">
        <f>SUM(K323:Q323)</f>
        <v>0</v>
      </c>
      <c r="S323" s="12">
        <f>I323-J323-R323</f>
        <v>0</v>
      </c>
    </row>
    <row r="324" spans="2:19" s="36" customFormat="1" ht="15" customHeight="1">
      <c r="B324" s="52"/>
      <c r="C324" s="52"/>
      <c r="D324" s="52"/>
      <c r="E324" s="79"/>
      <c r="F324" s="76"/>
      <c r="G324" s="76"/>
      <c r="H324" s="3" t="s">
        <v>11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/>
      <c r="R324" s="12">
        <f>SUM(K324:Q324)</f>
        <v>0</v>
      </c>
      <c r="S324" s="12">
        <f>I324-J324-R324</f>
        <v>0</v>
      </c>
    </row>
    <row r="325" spans="2:19" s="36" customFormat="1" ht="21.75" customHeight="1">
      <c r="B325" s="50">
        <v>117</v>
      </c>
      <c r="C325" s="50">
        <v>77</v>
      </c>
      <c r="D325" s="50">
        <v>74</v>
      </c>
      <c r="E325" s="80" t="s">
        <v>115</v>
      </c>
      <c r="F325" s="74">
        <v>2008</v>
      </c>
      <c r="G325" s="74">
        <v>2008</v>
      </c>
      <c r="H325" s="23" t="s">
        <v>8</v>
      </c>
      <c r="I325" s="10">
        <f>SUBTOTAL(9,I326:I328)</f>
        <v>1923454</v>
      </c>
      <c r="J325" s="10">
        <f>SUBTOTAL(9,J326:J328)</f>
        <v>0</v>
      </c>
      <c r="K325" s="10">
        <f aca="true" t="shared" si="82" ref="K325:S325">SUBTOTAL(9,K326:K328)</f>
        <v>0</v>
      </c>
      <c r="L325" s="10">
        <f t="shared" si="82"/>
        <v>1923454</v>
      </c>
      <c r="M325" s="10">
        <f t="shared" si="82"/>
        <v>0</v>
      </c>
      <c r="N325" s="10">
        <f t="shared" si="82"/>
        <v>0</v>
      </c>
      <c r="O325" s="10">
        <f t="shared" si="82"/>
        <v>0</v>
      </c>
      <c r="P325" s="10">
        <f t="shared" si="82"/>
        <v>0</v>
      </c>
      <c r="Q325" s="10">
        <f t="shared" si="82"/>
        <v>0</v>
      </c>
      <c r="R325" s="10">
        <f t="shared" si="82"/>
        <v>1923454</v>
      </c>
      <c r="S325" s="10">
        <f t="shared" si="82"/>
        <v>0</v>
      </c>
    </row>
    <row r="326" spans="2:19" s="36" customFormat="1" ht="21.75" customHeight="1">
      <c r="B326" s="51"/>
      <c r="C326" s="51"/>
      <c r="D326" s="51"/>
      <c r="E326" s="54"/>
      <c r="F326" s="75"/>
      <c r="G326" s="75"/>
      <c r="H326" s="23" t="s">
        <v>10</v>
      </c>
      <c r="I326" s="11">
        <v>1923454</v>
      </c>
      <c r="J326" s="11">
        <v>0</v>
      </c>
      <c r="K326" s="11">
        <v>0</v>
      </c>
      <c r="L326" s="11">
        <v>1923454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2">
        <f>SUM(K326:Q326)</f>
        <v>1923454</v>
      </c>
      <c r="S326" s="12">
        <f>I326-J326-R326</f>
        <v>0</v>
      </c>
    </row>
    <row r="327" spans="2:19" s="36" customFormat="1" ht="21.75" customHeight="1">
      <c r="B327" s="51"/>
      <c r="C327" s="51"/>
      <c r="D327" s="51"/>
      <c r="E327" s="54"/>
      <c r="F327" s="75"/>
      <c r="G327" s="75"/>
      <c r="H327" s="3" t="s">
        <v>46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2">
        <f>SUM(K327:Q327)</f>
        <v>0</v>
      </c>
      <c r="S327" s="12">
        <f>I327-J327-R327</f>
        <v>0</v>
      </c>
    </row>
    <row r="328" spans="2:19" s="36" customFormat="1" ht="21.75" customHeight="1">
      <c r="B328" s="52"/>
      <c r="C328" s="52"/>
      <c r="D328" s="52"/>
      <c r="E328" s="61"/>
      <c r="F328" s="76"/>
      <c r="G328" s="76"/>
      <c r="H328" s="3" t="s">
        <v>11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/>
      <c r="R328" s="12">
        <f>SUM(K328:Q328)</f>
        <v>0</v>
      </c>
      <c r="S328" s="12">
        <f>I328-J328-R328</f>
        <v>0</v>
      </c>
    </row>
    <row r="329" spans="2:19" s="36" customFormat="1" ht="21.75" customHeight="1">
      <c r="B329" s="50">
        <v>118</v>
      </c>
      <c r="C329" s="50">
        <v>78</v>
      </c>
      <c r="D329" s="50">
        <v>75</v>
      </c>
      <c r="E329" s="80" t="s">
        <v>116</v>
      </c>
      <c r="F329" s="74">
        <v>2007</v>
      </c>
      <c r="G329" s="74">
        <v>2011</v>
      </c>
      <c r="H329" s="23" t="s">
        <v>8</v>
      </c>
      <c r="I329" s="10">
        <f>SUBTOTAL(9,I330:I332)</f>
        <v>52984080</v>
      </c>
      <c r="J329" s="10">
        <f>SUBTOTAL(9,J330:J332)</f>
        <v>0</v>
      </c>
      <c r="K329" s="10">
        <f aca="true" t="shared" si="83" ref="K329:S329">SUBTOTAL(9,K330:K332)</f>
        <v>7000000</v>
      </c>
      <c r="L329" s="10">
        <f t="shared" si="83"/>
        <v>12660717</v>
      </c>
      <c r="M329" s="10">
        <f t="shared" si="83"/>
        <v>15659016</v>
      </c>
      <c r="N329" s="10">
        <f t="shared" si="83"/>
        <v>14452347</v>
      </c>
      <c r="O329" s="10">
        <f t="shared" si="83"/>
        <v>3212000</v>
      </c>
      <c r="P329" s="10">
        <f t="shared" si="83"/>
        <v>0</v>
      </c>
      <c r="Q329" s="10">
        <f t="shared" si="83"/>
        <v>0</v>
      </c>
      <c r="R329" s="10">
        <f t="shared" si="83"/>
        <v>52984080</v>
      </c>
      <c r="S329" s="10">
        <f t="shared" si="83"/>
        <v>0</v>
      </c>
    </row>
    <row r="330" spans="2:19" s="36" customFormat="1" ht="21.75" customHeight="1">
      <c r="B330" s="51"/>
      <c r="C330" s="51"/>
      <c r="D330" s="51"/>
      <c r="E330" s="54"/>
      <c r="F330" s="75"/>
      <c r="G330" s="75"/>
      <c r="H330" s="23" t="s">
        <v>10</v>
      </c>
      <c r="I330" s="11">
        <v>52984080</v>
      </c>
      <c r="J330" s="11">
        <v>0</v>
      </c>
      <c r="K330" s="11">
        <v>7000000</v>
      </c>
      <c r="L330" s="11">
        <v>12660717</v>
      </c>
      <c r="M330" s="11">
        <v>15659016</v>
      </c>
      <c r="N330" s="11">
        <v>14452347</v>
      </c>
      <c r="O330" s="11">
        <v>3212000</v>
      </c>
      <c r="P330" s="11"/>
      <c r="Q330" s="11"/>
      <c r="R330" s="12">
        <f>SUM(K330:Q330)</f>
        <v>52984080</v>
      </c>
      <c r="S330" s="12">
        <f>I330-J330-R330</f>
        <v>0</v>
      </c>
    </row>
    <row r="331" spans="2:19" s="36" customFormat="1" ht="21.75" customHeight="1">
      <c r="B331" s="51"/>
      <c r="C331" s="51"/>
      <c r="D331" s="51"/>
      <c r="E331" s="54"/>
      <c r="F331" s="75"/>
      <c r="G331" s="75"/>
      <c r="H331" s="3" t="s">
        <v>46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2">
        <f>SUM(K331:Q331)</f>
        <v>0</v>
      </c>
      <c r="S331" s="12">
        <f>I331-J331-R331</f>
        <v>0</v>
      </c>
    </row>
    <row r="332" spans="2:19" s="36" customFormat="1" ht="21.75" customHeight="1">
      <c r="B332" s="52"/>
      <c r="C332" s="52"/>
      <c r="D332" s="52"/>
      <c r="E332" s="61"/>
      <c r="F332" s="76"/>
      <c r="G332" s="76"/>
      <c r="H332" s="3" t="s">
        <v>11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/>
      <c r="R332" s="12">
        <f>SUM(K332:Q332)</f>
        <v>0</v>
      </c>
      <c r="S332" s="12">
        <f>I332-J332-R332</f>
        <v>0</v>
      </c>
    </row>
    <row r="333" spans="2:19" s="36" customFormat="1" ht="15" customHeight="1">
      <c r="B333" s="50">
        <v>119</v>
      </c>
      <c r="C333" s="50">
        <v>79</v>
      </c>
      <c r="D333" s="50">
        <v>76</v>
      </c>
      <c r="E333" s="80" t="s">
        <v>117</v>
      </c>
      <c r="F333" s="74"/>
      <c r="G333" s="74"/>
      <c r="H333" s="23" t="s">
        <v>8</v>
      </c>
      <c r="I333" s="10">
        <f>SUBTOTAL(9,I334:I336)</f>
        <v>20650000</v>
      </c>
      <c r="J333" s="10">
        <f>SUBTOTAL(9,J334:J336)</f>
        <v>0</v>
      </c>
      <c r="K333" s="10">
        <f aca="true" t="shared" si="84" ref="K333:S333">SUBTOTAL(9,K334:K336)</f>
        <v>0</v>
      </c>
      <c r="L333" s="10">
        <f t="shared" si="84"/>
        <v>10650000</v>
      </c>
      <c r="M333" s="10">
        <f t="shared" si="84"/>
        <v>2000000</v>
      </c>
      <c r="N333" s="10">
        <f t="shared" si="84"/>
        <v>2000000</v>
      </c>
      <c r="O333" s="10">
        <f t="shared" si="84"/>
        <v>2000000</v>
      </c>
      <c r="P333" s="10">
        <f t="shared" si="84"/>
        <v>2000000</v>
      </c>
      <c r="Q333" s="10">
        <f t="shared" si="84"/>
        <v>2000000</v>
      </c>
      <c r="R333" s="10">
        <f t="shared" si="84"/>
        <v>20650000</v>
      </c>
      <c r="S333" s="10">
        <f t="shared" si="84"/>
        <v>0</v>
      </c>
    </row>
    <row r="334" spans="2:19" s="36" customFormat="1" ht="15" customHeight="1">
      <c r="B334" s="51"/>
      <c r="C334" s="51"/>
      <c r="D334" s="51"/>
      <c r="E334" s="54"/>
      <c r="F334" s="75"/>
      <c r="G334" s="75"/>
      <c r="H334" s="23" t="s">
        <v>10</v>
      </c>
      <c r="I334" s="11">
        <v>20650000</v>
      </c>
      <c r="J334" s="11">
        <v>0</v>
      </c>
      <c r="K334" s="11"/>
      <c r="L334" s="11">
        <v>10650000</v>
      </c>
      <c r="M334" s="11">
        <v>2000000</v>
      </c>
      <c r="N334" s="11">
        <v>2000000</v>
      </c>
      <c r="O334" s="11">
        <v>2000000</v>
      </c>
      <c r="P334" s="11">
        <v>2000000</v>
      </c>
      <c r="Q334" s="11">
        <v>2000000</v>
      </c>
      <c r="R334" s="12">
        <f>SUM(K334:Q334)</f>
        <v>20650000</v>
      </c>
      <c r="S334" s="12">
        <f>I334-J334-R334</f>
        <v>0</v>
      </c>
    </row>
    <row r="335" spans="2:19" s="36" customFormat="1" ht="15" customHeight="1">
      <c r="B335" s="51"/>
      <c r="C335" s="51"/>
      <c r="D335" s="51"/>
      <c r="E335" s="54"/>
      <c r="F335" s="75"/>
      <c r="G335" s="75"/>
      <c r="H335" s="3" t="s">
        <v>46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2">
        <f>SUM(K335:Q335)</f>
        <v>0</v>
      </c>
      <c r="S335" s="12">
        <f>I335-J335-R335</f>
        <v>0</v>
      </c>
    </row>
    <row r="336" spans="2:19" s="36" customFormat="1" ht="15" customHeight="1">
      <c r="B336" s="52"/>
      <c r="C336" s="52"/>
      <c r="D336" s="52"/>
      <c r="E336" s="61"/>
      <c r="F336" s="76"/>
      <c r="G336" s="76"/>
      <c r="H336" s="3" t="s">
        <v>11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2">
        <f>SUM(K336:Q336)</f>
        <v>0</v>
      </c>
      <c r="S336" s="12">
        <f>I336-J336-R336</f>
        <v>0</v>
      </c>
    </row>
  </sheetData>
  <sheetProtection password="8C85" sheet="1" objects="1" scenarios="1"/>
  <mergeCells count="495">
    <mergeCell ref="F325:F328"/>
    <mergeCell ref="G325:G328"/>
    <mergeCell ref="B191:B194"/>
    <mergeCell ref="C191:C194"/>
    <mergeCell ref="D191:D194"/>
    <mergeCell ref="E191:E194"/>
    <mergeCell ref="F191:F194"/>
    <mergeCell ref="G191:G194"/>
    <mergeCell ref="B203:B206"/>
    <mergeCell ref="C203:C206"/>
    <mergeCell ref="B17:B20"/>
    <mergeCell ref="C17:C20"/>
    <mergeCell ref="D17:D20"/>
    <mergeCell ref="E17:E20"/>
    <mergeCell ref="E265:E268"/>
    <mergeCell ref="F265:F268"/>
    <mergeCell ref="G265:G268"/>
    <mergeCell ref="G46:G49"/>
    <mergeCell ref="F98:F101"/>
    <mergeCell ref="G98:G101"/>
    <mergeCell ref="G236:G239"/>
    <mergeCell ref="F70:F73"/>
    <mergeCell ref="G70:G73"/>
    <mergeCell ref="F166:F169"/>
    <mergeCell ref="B98:B101"/>
    <mergeCell ref="C98:C101"/>
    <mergeCell ref="D98:D101"/>
    <mergeCell ref="E98:E101"/>
    <mergeCell ref="D333:D336"/>
    <mergeCell ref="D325:D328"/>
    <mergeCell ref="D21:D24"/>
    <mergeCell ref="D13:D16"/>
    <mergeCell ref="D66:D69"/>
    <mergeCell ref="D54:D57"/>
    <mergeCell ref="D50:D53"/>
    <mergeCell ref="D62:D65"/>
    <mergeCell ref="D46:D49"/>
    <mergeCell ref="D203:D206"/>
    <mergeCell ref="D183:D186"/>
    <mergeCell ref="D187:D190"/>
    <mergeCell ref="D195:D198"/>
    <mergeCell ref="D199:D202"/>
    <mergeCell ref="D211:D214"/>
    <mergeCell ref="D215:D218"/>
    <mergeCell ref="C265:C268"/>
    <mergeCell ref="D265:D268"/>
    <mergeCell ref="C236:C239"/>
    <mergeCell ref="C257:C260"/>
    <mergeCell ref="C261:C264"/>
    <mergeCell ref="C240:G240"/>
    <mergeCell ref="G241:G244"/>
    <mergeCell ref="G245:G248"/>
    <mergeCell ref="D102:D105"/>
    <mergeCell ref="E261:E264"/>
    <mergeCell ref="G166:G169"/>
    <mergeCell ref="D219:D222"/>
    <mergeCell ref="D241:D244"/>
    <mergeCell ref="D245:D248"/>
    <mergeCell ref="D249:D252"/>
    <mergeCell ref="D253:D256"/>
    <mergeCell ref="D178:D181"/>
    <mergeCell ref="D142:D145"/>
    <mergeCell ref="G13:G16"/>
    <mergeCell ref="E21:E24"/>
    <mergeCell ref="F21:F24"/>
    <mergeCell ref="G21:G24"/>
    <mergeCell ref="F17:F20"/>
    <mergeCell ref="G17:G20"/>
    <mergeCell ref="B13:B16"/>
    <mergeCell ref="E13:E16"/>
    <mergeCell ref="F13:F16"/>
    <mergeCell ref="F34:F37"/>
    <mergeCell ref="C13:C16"/>
    <mergeCell ref="B21:B24"/>
    <mergeCell ref="C21:C24"/>
    <mergeCell ref="D34:D37"/>
    <mergeCell ref="D30:D33"/>
    <mergeCell ref="D26:D29"/>
    <mergeCell ref="B236:B239"/>
    <mergeCell ref="F236:F239"/>
    <mergeCell ref="E236:E239"/>
    <mergeCell ref="D223:D226"/>
    <mergeCell ref="D227:D230"/>
    <mergeCell ref="D232:D235"/>
    <mergeCell ref="D236:D239"/>
    <mergeCell ref="C223:C226"/>
    <mergeCell ref="B232:B235"/>
    <mergeCell ref="C232:C235"/>
    <mergeCell ref="B183:B186"/>
    <mergeCell ref="E187:E190"/>
    <mergeCell ref="G170:G173"/>
    <mergeCell ref="F183:F186"/>
    <mergeCell ref="G183:G186"/>
    <mergeCell ref="F178:F181"/>
    <mergeCell ref="G178:G181"/>
    <mergeCell ref="G174:G177"/>
    <mergeCell ref="F187:F190"/>
    <mergeCell ref="C183:C186"/>
    <mergeCell ref="B166:B169"/>
    <mergeCell ref="E174:E177"/>
    <mergeCell ref="F174:F177"/>
    <mergeCell ref="C174:C177"/>
    <mergeCell ref="F170:F173"/>
    <mergeCell ref="D166:D169"/>
    <mergeCell ref="D170:D173"/>
    <mergeCell ref="D174:D177"/>
    <mergeCell ref="B150:B153"/>
    <mergeCell ref="E150:E153"/>
    <mergeCell ref="B178:B181"/>
    <mergeCell ref="E166:E169"/>
    <mergeCell ref="E170:E173"/>
    <mergeCell ref="E178:E181"/>
    <mergeCell ref="B170:B173"/>
    <mergeCell ref="D150:D153"/>
    <mergeCell ref="B174:B177"/>
    <mergeCell ref="B162:B165"/>
    <mergeCell ref="F26:F29"/>
    <mergeCell ref="G26:G29"/>
    <mergeCell ref="B66:B69"/>
    <mergeCell ref="E66:E69"/>
    <mergeCell ref="F66:F69"/>
    <mergeCell ref="G66:G69"/>
    <mergeCell ref="B34:B37"/>
    <mergeCell ref="E34:E37"/>
    <mergeCell ref="G34:G37"/>
    <mergeCell ref="E62:E65"/>
    <mergeCell ref="E26:E29"/>
    <mergeCell ref="B26:B29"/>
    <mergeCell ref="D70:D73"/>
    <mergeCell ref="D74:D77"/>
    <mergeCell ref="B62:B65"/>
    <mergeCell ref="B70:B73"/>
    <mergeCell ref="E70:E73"/>
    <mergeCell ref="D58:D61"/>
    <mergeCell ref="B74:B77"/>
    <mergeCell ref="C26:C29"/>
    <mergeCell ref="E162:E165"/>
    <mergeCell ref="F162:F165"/>
    <mergeCell ref="G162:G165"/>
    <mergeCell ref="C162:C165"/>
    <mergeCell ref="D162:D165"/>
    <mergeCell ref="F158:F161"/>
    <mergeCell ref="G158:G161"/>
    <mergeCell ref="E158:E161"/>
    <mergeCell ref="B158:B161"/>
    <mergeCell ref="C158:C161"/>
    <mergeCell ref="D158:D161"/>
    <mergeCell ref="B154:B157"/>
    <mergeCell ref="E154:E157"/>
    <mergeCell ref="F154:F157"/>
    <mergeCell ref="G154:G157"/>
    <mergeCell ref="C154:C157"/>
    <mergeCell ref="D154:D157"/>
    <mergeCell ref="G146:G149"/>
    <mergeCell ref="C146:C149"/>
    <mergeCell ref="F150:F153"/>
    <mergeCell ref="G150:G153"/>
    <mergeCell ref="C150:C153"/>
    <mergeCell ref="D146:D149"/>
    <mergeCell ref="B138:B141"/>
    <mergeCell ref="E138:E141"/>
    <mergeCell ref="F138:F141"/>
    <mergeCell ref="G138:G141"/>
    <mergeCell ref="C138:C141"/>
    <mergeCell ref="D138:D141"/>
    <mergeCell ref="B134:B137"/>
    <mergeCell ref="E134:E137"/>
    <mergeCell ref="F134:F137"/>
    <mergeCell ref="G134:G137"/>
    <mergeCell ref="C134:C137"/>
    <mergeCell ref="D134:D137"/>
    <mergeCell ref="B130:B133"/>
    <mergeCell ref="E130:E133"/>
    <mergeCell ref="F130:F133"/>
    <mergeCell ref="G130:G133"/>
    <mergeCell ref="C130:C133"/>
    <mergeCell ref="D130:D133"/>
    <mergeCell ref="F126:F129"/>
    <mergeCell ref="G126:G129"/>
    <mergeCell ref="C126:C129"/>
    <mergeCell ref="D126:D129"/>
    <mergeCell ref="F122:F125"/>
    <mergeCell ref="G122:G125"/>
    <mergeCell ref="C122:C125"/>
    <mergeCell ref="D122:D125"/>
    <mergeCell ref="B253:B256"/>
    <mergeCell ref="C253:C256"/>
    <mergeCell ref="B110:B113"/>
    <mergeCell ref="E110:E113"/>
    <mergeCell ref="C110:C113"/>
    <mergeCell ref="D110:D113"/>
    <mergeCell ref="B122:B125"/>
    <mergeCell ref="E122:E125"/>
    <mergeCell ref="B126:B129"/>
    <mergeCell ref="E126:E129"/>
    <mergeCell ref="B249:B252"/>
    <mergeCell ref="C249:C252"/>
    <mergeCell ref="F249:F252"/>
    <mergeCell ref="G249:G252"/>
    <mergeCell ref="E249:E252"/>
    <mergeCell ref="B245:B248"/>
    <mergeCell ref="C245:C248"/>
    <mergeCell ref="F245:F248"/>
    <mergeCell ref="E245:E248"/>
    <mergeCell ref="B114:B117"/>
    <mergeCell ref="E114:E117"/>
    <mergeCell ref="F114:F117"/>
    <mergeCell ref="C114:C117"/>
    <mergeCell ref="D114:D117"/>
    <mergeCell ref="F142:F145"/>
    <mergeCell ref="G142:G145"/>
    <mergeCell ref="F241:F244"/>
    <mergeCell ref="B211:B214"/>
    <mergeCell ref="C142:C145"/>
    <mergeCell ref="B146:B149"/>
    <mergeCell ref="E146:E149"/>
    <mergeCell ref="F146:F149"/>
    <mergeCell ref="B142:B145"/>
    <mergeCell ref="E142:E145"/>
    <mergeCell ref="F207:F210"/>
    <mergeCell ref="G207:G210"/>
    <mergeCell ref="C231:G231"/>
    <mergeCell ref="E219:E222"/>
    <mergeCell ref="F219:F222"/>
    <mergeCell ref="G219:G222"/>
    <mergeCell ref="C219:C222"/>
    <mergeCell ref="E227:E230"/>
    <mergeCell ref="G227:G230"/>
    <mergeCell ref="D207:D210"/>
    <mergeCell ref="G62:G65"/>
    <mergeCell ref="B207:B210"/>
    <mergeCell ref="B78:B81"/>
    <mergeCell ref="G187:G190"/>
    <mergeCell ref="B106:B109"/>
    <mergeCell ref="E106:E109"/>
    <mergeCell ref="F106:F109"/>
    <mergeCell ref="G102:G105"/>
    <mergeCell ref="C207:C210"/>
    <mergeCell ref="B118:B121"/>
    <mergeCell ref="C106:C109"/>
    <mergeCell ref="E118:E121"/>
    <mergeCell ref="F118:F121"/>
    <mergeCell ref="G118:G121"/>
    <mergeCell ref="G114:G117"/>
    <mergeCell ref="C118:C121"/>
    <mergeCell ref="D106:D109"/>
    <mergeCell ref="D118:D121"/>
    <mergeCell ref="F110:F113"/>
    <mergeCell ref="G110:G113"/>
    <mergeCell ref="B94:B97"/>
    <mergeCell ref="C94:C97"/>
    <mergeCell ref="F94:F97"/>
    <mergeCell ref="G94:G97"/>
    <mergeCell ref="D94:D97"/>
    <mergeCell ref="B102:B105"/>
    <mergeCell ref="C102:C105"/>
    <mergeCell ref="E102:E105"/>
    <mergeCell ref="B241:B244"/>
    <mergeCell ref="C241:C244"/>
    <mergeCell ref="E241:E244"/>
    <mergeCell ref="C166:C169"/>
    <mergeCell ref="C170:C173"/>
    <mergeCell ref="C178:C181"/>
    <mergeCell ref="E223:E226"/>
    <mergeCell ref="B269:B272"/>
    <mergeCell ref="F269:F272"/>
    <mergeCell ref="G269:G272"/>
    <mergeCell ref="E257:E260"/>
    <mergeCell ref="G257:G260"/>
    <mergeCell ref="F257:F260"/>
    <mergeCell ref="C269:C272"/>
    <mergeCell ref="B257:B260"/>
    <mergeCell ref="D257:D260"/>
    <mergeCell ref="D261:D264"/>
    <mergeCell ref="B1:S1"/>
    <mergeCell ref="B3:S3"/>
    <mergeCell ref="B261:B264"/>
    <mergeCell ref="F261:F264"/>
    <mergeCell ref="G261:G264"/>
    <mergeCell ref="B223:B226"/>
    <mergeCell ref="G223:G226"/>
    <mergeCell ref="B4:B5"/>
    <mergeCell ref="F4:G4"/>
    <mergeCell ref="E4:E5"/>
    <mergeCell ref="J4:J5"/>
    <mergeCell ref="S4:S5"/>
    <mergeCell ref="E183:E186"/>
    <mergeCell ref="R4:R5"/>
    <mergeCell ref="I4:I5"/>
    <mergeCell ref="H4:H5"/>
    <mergeCell ref="K4:Q4"/>
    <mergeCell ref="F78:F81"/>
    <mergeCell ref="F74:F77"/>
    <mergeCell ref="E94:E97"/>
    <mergeCell ref="F253:F256"/>
    <mergeCell ref="G253:G256"/>
    <mergeCell ref="E253:E256"/>
    <mergeCell ref="B273:B276"/>
    <mergeCell ref="F273:F276"/>
    <mergeCell ref="G273:G276"/>
    <mergeCell ref="E273:E276"/>
    <mergeCell ref="C273:C276"/>
    <mergeCell ref="E269:E272"/>
    <mergeCell ref="D269:D272"/>
    <mergeCell ref="B321:B324"/>
    <mergeCell ref="B329:B332"/>
    <mergeCell ref="C321:C324"/>
    <mergeCell ref="C329:C332"/>
    <mergeCell ref="B325:B328"/>
    <mergeCell ref="C325:C328"/>
    <mergeCell ref="B277:B280"/>
    <mergeCell ref="F277:F280"/>
    <mergeCell ref="G277:G280"/>
    <mergeCell ref="E277:E280"/>
    <mergeCell ref="C277:C280"/>
    <mergeCell ref="D277:D280"/>
    <mergeCell ref="G281:G284"/>
    <mergeCell ref="C285:G285"/>
    <mergeCell ref="G290:G293"/>
    <mergeCell ref="C281:C284"/>
    <mergeCell ref="E290:E293"/>
    <mergeCell ref="F290:F293"/>
    <mergeCell ref="C290:C293"/>
    <mergeCell ref="F286:F289"/>
    <mergeCell ref="G286:G289"/>
    <mergeCell ref="E281:E284"/>
    <mergeCell ref="G295:G298"/>
    <mergeCell ref="B303:B306"/>
    <mergeCell ref="F303:F306"/>
    <mergeCell ref="G303:G306"/>
    <mergeCell ref="G299:G302"/>
    <mergeCell ref="B281:B284"/>
    <mergeCell ref="B286:B289"/>
    <mergeCell ref="E286:E289"/>
    <mergeCell ref="D281:D284"/>
    <mergeCell ref="D286:D289"/>
    <mergeCell ref="C286:C289"/>
    <mergeCell ref="C308:C311"/>
    <mergeCell ref="C303:C306"/>
    <mergeCell ref="E303:E306"/>
    <mergeCell ref="B290:B293"/>
    <mergeCell ref="D290:D293"/>
    <mergeCell ref="B295:B298"/>
    <mergeCell ref="D273:D276"/>
    <mergeCell ref="F308:F311"/>
    <mergeCell ref="F299:F302"/>
    <mergeCell ref="F295:F298"/>
    <mergeCell ref="F312:F315"/>
    <mergeCell ref="F281:F284"/>
    <mergeCell ref="E299:E302"/>
    <mergeCell ref="D295:D298"/>
    <mergeCell ref="F316:F319"/>
    <mergeCell ref="E316:E319"/>
    <mergeCell ref="C316:C319"/>
    <mergeCell ref="D316:D319"/>
    <mergeCell ref="E333:E336"/>
    <mergeCell ref="F329:F332"/>
    <mergeCell ref="C294:G294"/>
    <mergeCell ref="C307:G307"/>
    <mergeCell ref="G316:G319"/>
    <mergeCell ref="G312:G315"/>
    <mergeCell ref="G308:G311"/>
    <mergeCell ref="F333:F336"/>
    <mergeCell ref="G333:G336"/>
    <mergeCell ref="D308:D311"/>
    <mergeCell ref="E321:E324"/>
    <mergeCell ref="E329:E332"/>
    <mergeCell ref="E312:E315"/>
    <mergeCell ref="C312:C315"/>
    <mergeCell ref="D312:D315"/>
    <mergeCell ref="D321:D324"/>
    <mergeCell ref="D329:D332"/>
    <mergeCell ref="E325:E328"/>
    <mergeCell ref="B265:B268"/>
    <mergeCell ref="B333:B336"/>
    <mergeCell ref="D299:D302"/>
    <mergeCell ref="D303:D306"/>
    <mergeCell ref="C333:C336"/>
    <mergeCell ref="B308:B311"/>
    <mergeCell ref="B299:B302"/>
    <mergeCell ref="B316:B319"/>
    <mergeCell ref="B312:B315"/>
    <mergeCell ref="C299:C302"/>
    <mergeCell ref="G329:G332"/>
    <mergeCell ref="F321:F324"/>
    <mergeCell ref="G321:G324"/>
    <mergeCell ref="C211:C214"/>
    <mergeCell ref="C227:C230"/>
    <mergeCell ref="G232:G235"/>
    <mergeCell ref="F223:F226"/>
    <mergeCell ref="E295:E298"/>
    <mergeCell ref="C295:C298"/>
    <mergeCell ref="E308:E311"/>
    <mergeCell ref="C66:C69"/>
    <mergeCell ref="C70:C73"/>
    <mergeCell ref="C42:C45"/>
    <mergeCell ref="E42:E45"/>
    <mergeCell ref="E54:E57"/>
    <mergeCell ref="G86:G89"/>
    <mergeCell ref="E195:E198"/>
    <mergeCell ref="F195:F198"/>
    <mergeCell ref="G38:G41"/>
    <mergeCell ref="F46:F49"/>
    <mergeCell ref="G50:G53"/>
    <mergeCell ref="F54:F57"/>
    <mergeCell ref="F62:F65"/>
    <mergeCell ref="F102:F105"/>
    <mergeCell ref="G106:G109"/>
    <mergeCell ref="G78:G81"/>
    <mergeCell ref="C78:C81"/>
    <mergeCell ref="E78:E81"/>
    <mergeCell ref="G82:G85"/>
    <mergeCell ref="D78:D81"/>
    <mergeCell ref="D82:D85"/>
    <mergeCell ref="C34:C37"/>
    <mergeCell ref="C320:G320"/>
    <mergeCell ref="C7:G10"/>
    <mergeCell ref="C12:G12"/>
    <mergeCell ref="C25:G25"/>
    <mergeCell ref="C182:G182"/>
    <mergeCell ref="C74:C77"/>
    <mergeCell ref="C62:C65"/>
    <mergeCell ref="G90:G93"/>
    <mergeCell ref="E74:E77"/>
    <mergeCell ref="B90:B93"/>
    <mergeCell ref="C90:C93"/>
    <mergeCell ref="E90:E93"/>
    <mergeCell ref="F90:F93"/>
    <mergeCell ref="D90:D93"/>
    <mergeCell ref="G74:G77"/>
    <mergeCell ref="F42:F45"/>
    <mergeCell ref="B38:B41"/>
    <mergeCell ref="C38:C41"/>
    <mergeCell ref="E38:E41"/>
    <mergeCell ref="F38:F41"/>
    <mergeCell ref="D42:D45"/>
    <mergeCell ref="D38:D41"/>
    <mergeCell ref="G42:G45"/>
    <mergeCell ref="B42:B45"/>
    <mergeCell ref="B86:B89"/>
    <mergeCell ref="C86:C89"/>
    <mergeCell ref="E86:E89"/>
    <mergeCell ref="F86:F89"/>
    <mergeCell ref="D86:D89"/>
    <mergeCell ref="B46:B49"/>
    <mergeCell ref="C46:C49"/>
    <mergeCell ref="E46:E49"/>
    <mergeCell ref="G54:G57"/>
    <mergeCell ref="B50:B53"/>
    <mergeCell ref="C50:C53"/>
    <mergeCell ref="E50:E53"/>
    <mergeCell ref="F50:F53"/>
    <mergeCell ref="B54:B57"/>
    <mergeCell ref="C54:C57"/>
    <mergeCell ref="B58:B61"/>
    <mergeCell ref="C58:C61"/>
    <mergeCell ref="E58:E61"/>
    <mergeCell ref="F58:F61"/>
    <mergeCell ref="G30:G33"/>
    <mergeCell ref="B82:B85"/>
    <mergeCell ref="C82:C85"/>
    <mergeCell ref="E82:E85"/>
    <mergeCell ref="F82:F85"/>
    <mergeCell ref="B30:B33"/>
    <mergeCell ref="C30:C33"/>
    <mergeCell ref="E30:E33"/>
    <mergeCell ref="F30:F33"/>
    <mergeCell ref="G58:G61"/>
    <mergeCell ref="G195:G198"/>
    <mergeCell ref="G215:G218"/>
    <mergeCell ref="E211:E214"/>
    <mergeCell ref="F211:F214"/>
    <mergeCell ref="G211:G214"/>
    <mergeCell ref="G199:G202"/>
    <mergeCell ref="G203:G206"/>
    <mergeCell ref="E203:E206"/>
    <mergeCell ref="F203:F206"/>
    <mergeCell ref="E207:E210"/>
    <mergeCell ref="B187:B190"/>
    <mergeCell ref="C187:C190"/>
    <mergeCell ref="B195:B198"/>
    <mergeCell ref="C195:C198"/>
    <mergeCell ref="B199:B202"/>
    <mergeCell ref="C199:C202"/>
    <mergeCell ref="E199:E202"/>
    <mergeCell ref="F199:F202"/>
    <mergeCell ref="E232:E235"/>
    <mergeCell ref="F232:F235"/>
    <mergeCell ref="B215:B218"/>
    <mergeCell ref="C215:C218"/>
    <mergeCell ref="E215:E218"/>
    <mergeCell ref="F215:F218"/>
    <mergeCell ref="B219:B222"/>
    <mergeCell ref="B227:B230"/>
    <mergeCell ref="F227:F230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70" r:id="rId1"/>
  <headerFooter alignWithMargins="0">
    <oddFooter>&amp;L&amp;3&amp;F&amp;CStrona &amp;P z &amp;N</oddFooter>
  </headerFooter>
  <rowBreaks count="8" manualBreakCount="8">
    <brk id="37" min="2" max="18" man="1"/>
    <brk id="77" min="2" max="18" man="1"/>
    <brk id="117" min="2" max="18" man="1"/>
    <brk id="157" min="2" max="18" man="1"/>
    <brk id="190" min="2" max="18" man="1"/>
    <brk id="230" min="2" max="18" man="1"/>
    <brk id="268" min="2" max="18" man="1"/>
    <brk id="306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Pieńkowska</dc:creator>
  <cp:keywords/>
  <dc:description/>
  <cp:lastModifiedBy>URZAD GMINY STARE BABICE</cp:lastModifiedBy>
  <cp:lastPrinted>2007-12-06T09:18:13Z</cp:lastPrinted>
  <dcterms:created xsi:type="dcterms:W3CDTF">2003-07-27T20:50:52Z</dcterms:created>
  <dcterms:modified xsi:type="dcterms:W3CDTF">2007-12-10T12:06:59Z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-1395644295</vt:i4>
  </property>
  <property fmtid="{D5CDD505-2E9C-101B-9397-08002B2CF9AE}" pid="3" name="_EmailSubject">
    <vt:lpwstr/>
  </property>
  <property fmtid="{D5CDD505-2E9C-101B-9397-08002B2CF9AE}" pid="4" name="_AuthorEmail">
    <vt:lpwstr>JWszelaka@warszawa.um.gov.pl</vt:lpwstr>
  </property>
  <property fmtid="{D5CDD505-2E9C-101B-9397-08002B2CF9AE}" pid="5" name="_AuthorEmailDisplayName">
    <vt:lpwstr>Wszelaka Justyna</vt:lpwstr>
  </property>
  <property fmtid="{D5CDD505-2E9C-101B-9397-08002B2CF9AE}" pid="6" name="_ReviewingToolsShownOnce">
    <vt:lpwstr/>
  </property>
</Properties>
</file>